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zi\OneDrive\Favoritos\Documentos\01. Profissional\06. Perícia Judicial\Parecer técnico SINDPESP\Parecer Técnico\"/>
    </mc:Choice>
  </mc:AlternateContent>
  <xr:revisionPtr revIDLastSave="0" documentId="13_ncr:1_{836700A1-4426-443A-8D3A-F66199365F4A}" xr6:coauthVersionLast="47" xr6:coauthVersionMax="47" xr10:uidLastSave="{00000000-0000-0000-0000-000000000000}"/>
  <bookViews>
    <workbookView xWindow="-120" yWindow="-120" windowWidth="20730" windowHeight="11040" firstSheet="2" activeTab="2" xr2:uid="{DE66093C-F051-4B67-BC94-D6AA9D6D37D0}"/>
  </bookViews>
  <sheets>
    <sheet name="Resumo_Projeção_Remuneraçã in" sheetId="1" r:id="rId1"/>
    <sheet name="Resumo_Projeção_Salario-base" sheetId="2" r:id="rId2"/>
    <sheet name="Simulação Remun Inicial por ano" sheetId="3" r:id="rId3"/>
    <sheet name="Simulação Padrão de Vencimento" sheetId="5" r:id="rId4"/>
    <sheet name="Venc corrigido mês-7.23 a 12.26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3" l="1"/>
  <c r="J38" i="3"/>
  <c r="J37" i="3"/>
  <c r="J36" i="3"/>
  <c r="J35" i="3"/>
  <c r="J33" i="3"/>
  <c r="J32" i="3"/>
  <c r="J31" i="3"/>
  <c r="J30" i="3"/>
  <c r="J29" i="3"/>
  <c r="J27" i="3"/>
  <c r="J26" i="3"/>
  <c r="J25" i="3"/>
  <c r="J24" i="3"/>
  <c r="J23" i="3"/>
  <c r="J21" i="3"/>
  <c r="J20" i="3"/>
  <c r="J19" i="3"/>
  <c r="J18" i="3"/>
  <c r="J17" i="3"/>
  <c r="J15" i="3"/>
  <c r="J14" i="3"/>
  <c r="J13" i="3"/>
  <c r="J12" i="3"/>
  <c r="J11" i="3"/>
  <c r="J10" i="5"/>
  <c r="C46" i="6" l="1"/>
  <c r="C45" i="6"/>
  <c r="C44" i="6"/>
  <c r="C43" i="6"/>
  <c r="C42" i="6"/>
  <c r="C41" i="6"/>
  <c r="C40" i="6"/>
  <c r="C39" i="6"/>
  <c r="C38" i="6"/>
  <c r="C37" i="6"/>
  <c r="E36" i="6"/>
  <c r="F36" i="6" s="1"/>
  <c r="C36" i="6"/>
  <c r="E35" i="6"/>
  <c r="F35" i="6" s="1"/>
  <c r="C35" i="6"/>
  <c r="E34" i="6"/>
  <c r="F34" i="6" s="1"/>
  <c r="C34" i="6"/>
  <c r="F33" i="6"/>
  <c r="E33" i="6"/>
  <c r="C33" i="6"/>
  <c r="E32" i="6"/>
  <c r="F32" i="6" s="1"/>
  <c r="C32" i="6"/>
  <c r="E31" i="6"/>
  <c r="F31" i="6" s="1"/>
  <c r="C31" i="6"/>
  <c r="E30" i="6"/>
  <c r="F30" i="6" s="1"/>
  <c r="C30" i="6"/>
  <c r="F29" i="6"/>
  <c r="E29" i="6"/>
  <c r="C29" i="6"/>
  <c r="E28" i="6"/>
  <c r="F28" i="6" s="1"/>
  <c r="C28" i="6"/>
  <c r="E27" i="6"/>
  <c r="F27" i="6" s="1"/>
  <c r="C27" i="6"/>
  <c r="F26" i="6"/>
  <c r="E26" i="6"/>
  <c r="C26" i="6"/>
  <c r="F25" i="6"/>
  <c r="E25" i="6"/>
  <c r="C25" i="6"/>
  <c r="F24" i="6"/>
  <c r="E24" i="6"/>
  <c r="C24" i="6"/>
  <c r="F23" i="6"/>
  <c r="E23" i="6"/>
  <c r="C23" i="6"/>
  <c r="E22" i="6"/>
  <c r="F22" i="6" s="1"/>
  <c r="C22" i="6"/>
  <c r="F21" i="6"/>
  <c r="E21" i="6"/>
  <c r="C21" i="6"/>
  <c r="F20" i="6"/>
  <c r="E20" i="6"/>
  <c r="C20" i="6"/>
  <c r="F19" i="6"/>
  <c r="E19" i="6"/>
  <c r="C19" i="6"/>
  <c r="F18" i="6"/>
  <c r="E18" i="6"/>
  <c r="C18" i="6"/>
  <c r="V17" i="6"/>
  <c r="E17" i="6"/>
  <c r="F17" i="6" s="1"/>
  <c r="C17" i="6"/>
  <c r="V16" i="6"/>
  <c r="U18" i="6" s="1"/>
  <c r="V18" i="6" s="1"/>
  <c r="E16" i="6"/>
  <c r="F16" i="6" s="1"/>
  <c r="C16" i="6"/>
  <c r="U15" i="6"/>
  <c r="V15" i="6" s="1"/>
  <c r="F15" i="6"/>
  <c r="E15" i="6"/>
  <c r="C15" i="6"/>
  <c r="F14" i="6"/>
  <c r="E14" i="6"/>
  <c r="C14" i="6"/>
  <c r="F13" i="6"/>
  <c r="E13" i="6"/>
  <c r="C13" i="6"/>
  <c r="F12" i="6"/>
  <c r="E12" i="6"/>
  <c r="C12" i="6"/>
  <c r="D11" i="6"/>
  <c r="E11" i="6" s="1"/>
  <c r="F11" i="6" s="1"/>
  <c r="C11" i="6"/>
  <c r="D10" i="6"/>
  <c r="E10" i="6" s="1"/>
  <c r="F10" i="6" s="1"/>
  <c r="C10" i="6"/>
  <c r="D9" i="6"/>
  <c r="E9" i="6" s="1"/>
  <c r="F9" i="6" s="1"/>
  <c r="C9" i="6"/>
  <c r="E8" i="6"/>
  <c r="F8" i="6" s="1"/>
  <c r="D8" i="6"/>
  <c r="C8" i="6"/>
  <c r="F7" i="6"/>
  <c r="E7" i="6"/>
  <c r="D7" i="6"/>
  <c r="C7" i="6"/>
  <c r="E6" i="6"/>
  <c r="F6" i="6" s="1"/>
  <c r="D6" i="6"/>
  <c r="C6" i="6"/>
  <c r="D5" i="6"/>
  <c r="E5" i="6" s="1"/>
  <c r="F5" i="6" s="1"/>
  <c r="G5" i="6" s="1"/>
  <c r="G6" i="6" s="1"/>
  <c r="G7" i="6" s="1"/>
  <c r="C5" i="6"/>
  <c r="C4" i="6"/>
  <c r="G20" i="5"/>
  <c r="H20" i="5" s="1"/>
  <c r="I20" i="5" s="1"/>
  <c r="G18" i="5"/>
  <c r="H18" i="5" s="1"/>
  <c r="I18" i="5" s="1"/>
  <c r="H16" i="5"/>
  <c r="I16" i="5" s="1"/>
  <c r="G16" i="5"/>
  <c r="F16" i="5"/>
  <c r="G19" i="5" s="1"/>
  <c r="H19" i="5" s="1"/>
  <c r="I19" i="5" s="1"/>
  <c r="G8" i="5"/>
  <c r="H8" i="5" s="1"/>
  <c r="I8" i="5" s="1"/>
  <c r="D14" i="5" s="1"/>
  <c r="H7" i="5"/>
  <c r="I7" i="5" s="1"/>
  <c r="G7" i="5"/>
  <c r="G6" i="5"/>
  <c r="H6" i="5" s="1"/>
  <c r="I6" i="5" s="1"/>
  <c r="H5" i="5"/>
  <c r="I5" i="5" s="1"/>
  <c r="G5" i="5"/>
  <c r="G4" i="5"/>
  <c r="H4" i="5" s="1"/>
  <c r="I4" i="5" s="1"/>
  <c r="H39" i="3"/>
  <c r="G39" i="3"/>
  <c r="G38" i="3"/>
  <c r="G37" i="3"/>
  <c r="G36" i="3"/>
  <c r="G35" i="3"/>
  <c r="H33" i="3"/>
  <c r="G33" i="3"/>
  <c r="G32" i="3"/>
  <c r="G31" i="3"/>
  <c r="G30" i="3"/>
  <c r="G29" i="3"/>
  <c r="H27" i="3"/>
  <c r="G27" i="3"/>
  <c r="G26" i="3"/>
  <c r="G25" i="3"/>
  <c r="G24" i="3"/>
  <c r="G23" i="3"/>
  <c r="H21" i="3"/>
  <c r="G21" i="3"/>
  <c r="G20" i="3"/>
  <c r="G19" i="3"/>
  <c r="G18" i="3"/>
  <c r="G17" i="3"/>
  <c r="H15" i="3"/>
  <c r="G15" i="3"/>
  <c r="G14" i="3"/>
  <c r="G13" i="3"/>
  <c r="G12" i="3"/>
  <c r="G11" i="3"/>
  <c r="H9" i="3"/>
  <c r="G9" i="3"/>
  <c r="D9" i="3"/>
  <c r="E9" i="3" s="1"/>
  <c r="F9" i="3" s="1"/>
  <c r="G8" i="3"/>
  <c r="D8" i="3"/>
  <c r="G7" i="3"/>
  <c r="D7" i="3"/>
  <c r="G6" i="3"/>
  <c r="F6" i="3"/>
  <c r="E6" i="3"/>
  <c r="D6" i="3"/>
  <c r="I6" i="3" s="1"/>
  <c r="E5" i="1" s="1"/>
  <c r="G5" i="3"/>
  <c r="D5" i="3"/>
  <c r="H5" i="2"/>
  <c r="F5" i="2"/>
  <c r="E5" i="2"/>
  <c r="L4" i="6" l="1"/>
  <c r="L5" i="6" s="1"/>
  <c r="L6" i="6" s="1"/>
  <c r="L7" i="6" s="1"/>
  <c r="L8" i="6" s="1"/>
  <c r="L9" i="6" s="1"/>
  <c r="L10" i="6" s="1"/>
  <c r="L11" i="6" s="1"/>
  <c r="D13" i="5"/>
  <c r="J7" i="5"/>
  <c r="D14" i="3"/>
  <c r="J16" i="5"/>
  <c r="D40" i="6"/>
  <c r="E40" i="6" s="1"/>
  <c r="F40" i="6" s="1"/>
  <c r="D45" i="6"/>
  <c r="E45" i="6" s="1"/>
  <c r="F45" i="6" s="1"/>
  <c r="D37" i="6"/>
  <c r="E37" i="6" s="1"/>
  <c r="F37" i="6" s="1"/>
  <c r="D42" i="6"/>
  <c r="E42" i="6" s="1"/>
  <c r="F42" i="6" s="1"/>
  <c r="D39" i="6"/>
  <c r="E39" i="6" s="1"/>
  <c r="F39" i="6" s="1"/>
  <c r="D44" i="6"/>
  <c r="E44" i="6" s="1"/>
  <c r="F44" i="6" s="1"/>
  <c r="D41" i="6"/>
  <c r="E41" i="6" s="1"/>
  <c r="F41" i="6" s="1"/>
  <c r="D46" i="6"/>
  <c r="E46" i="6" s="1"/>
  <c r="F46" i="6" s="1"/>
  <c r="D43" i="6"/>
  <c r="E43" i="6" s="1"/>
  <c r="F43" i="6" s="1"/>
  <c r="D38" i="6"/>
  <c r="E38" i="6" s="1"/>
  <c r="F38" i="6" s="1"/>
  <c r="J19" i="5"/>
  <c r="D11" i="5"/>
  <c r="J4" i="6"/>
  <c r="J5" i="6" s="1"/>
  <c r="J6" i="6" s="1"/>
  <c r="J7" i="6" s="1"/>
  <c r="J8" i="6" s="1"/>
  <c r="J9" i="6" s="1"/>
  <c r="J10" i="6" s="1"/>
  <c r="J11" i="6" s="1"/>
  <c r="J5" i="5"/>
  <c r="D12" i="3"/>
  <c r="G8" i="6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D5" i="2"/>
  <c r="E5" i="3"/>
  <c r="G5" i="2"/>
  <c r="E8" i="3"/>
  <c r="F8" i="3" s="1"/>
  <c r="I8" i="3" s="1"/>
  <c r="G5" i="1" s="1"/>
  <c r="J6" i="5"/>
  <c r="K4" i="6"/>
  <c r="K5" i="6" s="1"/>
  <c r="K6" i="6" s="1"/>
  <c r="K7" i="6" s="1"/>
  <c r="K8" i="6" s="1"/>
  <c r="K9" i="6" s="1"/>
  <c r="K10" i="6" s="1"/>
  <c r="K11" i="6" s="1"/>
  <c r="D13" i="3"/>
  <c r="D12" i="5"/>
  <c r="J18" i="5"/>
  <c r="D10" i="5"/>
  <c r="J4" i="5"/>
  <c r="I4" i="6"/>
  <c r="I5" i="6" s="1"/>
  <c r="I6" i="6" s="1"/>
  <c r="I7" i="6" s="1"/>
  <c r="I8" i="6" s="1"/>
  <c r="I9" i="6" s="1"/>
  <c r="I10" i="6" s="1"/>
  <c r="I11" i="6" s="1"/>
  <c r="D11" i="3"/>
  <c r="M4" i="6"/>
  <c r="M5" i="6" s="1"/>
  <c r="M6" i="6" s="1"/>
  <c r="M7" i="6" s="1"/>
  <c r="M8" i="6" s="1"/>
  <c r="M9" i="6" s="1"/>
  <c r="M10" i="6" s="1"/>
  <c r="M11" i="6" s="1"/>
  <c r="D15" i="3"/>
  <c r="J8" i="5"/>
  <c r="I7" i="3"/>
  <c r="F5" i="1" s="1"/>
  <c r="J20" i="5"/>
  <c r="I9" i="3"/>
  <c r="H5" i="1" s="1"/>
  <c r="E7" i="3"/>
  <c r="G17" i="5"/>
  <c r="H17" i="5" s="1"/>
  <c r="I17" i="5" s="1"/>
  <c r="F7" i="3"/>
  <c r="I1" i="6" l="1"/>
  <c r="J1" i="6" s="1"/>
  <c r="H6" i="2"/>
  <c r="F15" i="3"/>
  <c r="I15" i="3" s="1"/>
  <c r="H6" i="1" s="1"/>
  <c r="E15" i="3"/>
  <c r="F13" i="3"/>
  <c r="E13" i="3"/>
  <c r="I13" i="3" s="1"/>
  <c r="F6" i="1" s="1"/>
  <c r="F6" i="2"/>
  <c r="M12" i="6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D21" i="3"/>
  <c r="E11" i="3"/>
  <c r="D6" i="2"/>
  <c r="I14" i="3"/>
  <c r="G6" i="1" s="1"/>
  <c r="F14" i="3"/>
  <c r="E14" i="3"/>
  <c r="G6" i="2"/>
  <c r="D17" i="3"/>
  <c r="I12" i="6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F5" i="3"/>
  <c r="I5" i="3" s="1"/>
  <c r="D5" i="1" s="1"/>
  <c r="J12" i="6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D18" i="3"/>
  <c r="J17" i="5"/>
  <c r="G44" i="6"/>
  <c r="G45" i="6" s="1"/>
  <c r="G46" i="6" s="1"/>
  <c r="D19" i="3"/>
  <c r="K12" i="6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E12" i="3"/>
  <c r="E6" i="2"/>
  <c r="L12" i="6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D20" i="3"/>
  <c r="I12" i="3" l="1"/>
  <c r="E6" i="1" s="1"/>
  <c r="J23" i="6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D24" i="3"/>
  <c r="E21" i="3"/>
  <c r="F21" i="3" s="1"/>
  <c r="I21" i="3" s="1"/>
  <c r="H7" i="1" s="1"/>
  <c r="H7" i="2"/>
  <c r="D26" i="3"/>
  <c r="L23" i="6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D27" i="3"/>
  <c r="M23" i="6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E19" i="3"/>
  <c r="F19" i="3" s="1"/>
  <c r="I19" i="3" s="1"/>
  <c r="F7" i="1" s="1"/>
  <c r="F7" i="2"/>
  <c r="D23" i="3"/>
  <c r="I23" i="6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E20" i="3"/>
  <c r="G7" i="2"/>
  <c r="F12" i="3"/>
  <c r="E17" i="3"/>
  <c r="F17" i="3" s="1"/>
  <c r="D7" i="2"/>
  <c r="H44" i="6"/>
  <c r="H36" i="6"/>
  <c r="H32" i="6"/>
  <c r="H28" i="6"/>
  <c r="H24" i="6"/>
  <c r="H20" i="6"/>
  <c r="H15" i="6"/>
  <c r="H11" i="6"/>
  <c r="H41" i="6"/>
  <c r="H17" i="6"/>
  <c r="H8" i="6"/>
  <c r="H46" i="6"/>
  <c r="H38" i="6"/>
  <c r="H35" i="6"/>
  <c r="H31" i="6"/>
  <c r="H27" i="6"/>
  <c r="H23" i="6"/>
  <c r="H19" i="6"/>
  <c r="H14" i="6"/>
  <c r="H5" i="6"/>
  <c r="F10" i="5" s="1"/>
  <c r="H43" i="6"/>
  <c r="H10" i="6"/>
  <c r="H47" i="6"/>
  <c r="H40" i="6"/>
  <c r="H34" i="6"/>
  <c r="H30" i="6"/>
  <c r="H26" i="6"/>
  <c r="H22" i="6"/>
  <c r="H16" i="6"/>
  <c r="H13" i="6"/>
  <c r="H7" i="6"/>
  <c r="H45" i="6"/>
  <c r="H37" i="6"/>
  <c r="H42" i="6"/>
  <c r="H25" i="6"/>
  <c r="H39" i="6"/>
  <c r="H12" i="6"/>
  <c r="H21" i="6"/>
  <c r="H18" i="6"/>
  <c r="H33" i="6"/>
  <c r="H6" i="6"/>
  <c r="H29" i="6"/>
  <c r="H9" i="6"/>
  <c r="F11" i="3"/>
  <c r="I11" i="3" s="1"/>
  <c r="D6" i="1" s="1"/>
  <c r="K23" i="6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D25" i="3"/>
  <c r="I18" i="3"/>
  <c r="E7" i="1" s="1"/>
  <c r="E7" i="2"/>
  <c r="F18" i="3"/>
  <c r="E18" i="3"/>
  <c r="I17" i="3" l="1"/>
  <c r="D7" i="1" s="1"/>
  <c r="F20" i="3"/>
  <c r="I20" i="3" s="1"/>
  <c r="G7" i="1" s="1"/>
  <c r="H8" i="2"/>
  <c r="E27" i="3"/>
  <c r="F27" i="3" s="1"/>
  <c r="F8" i="2"/>
  <c r="F25" i="3"/>
  <c r="I25" i="3" s="1"/>
  <c r="F8" i="1" s="1"/>
  <c r="E25" i="3"/>
  <c r="I35" i="6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D29" i="3"/>
  <c r="F24" i="3"/>
  <c r="E24" i="3"/>
  <c r="I24" i="3" s="1"/>
  <c r="E8" i="1" s="1"/>
  <c r="E8" i="2"/>
  <c r="J35" i="6"/>
  <c r="J36" i="6" s="1"/>
  <c r="J37" i="6" s="1"/>
  <c r="J38" i="6" s="1"/>
  <c r="J39" i="6" s="1"/>
  <c r="J40" i="6" s="1"/>
  <c r="J41" i="6" s="1"/>
  <c r="J42" i="6" s="1"/>
  <c r="J43" i="6" s="1"/>
  <c r="J44" i="6" s="1"/>
  <c r="J45" i="6" s="1"/>
  <c r="J46" i="6" s="1"/>
  <c r="D30" i="3"/>
  <c r="D8" i="2"/>
  <c r="F23" i="3"/>
  <c r="I23" i="3" s="1"/>
  <c r="D8" i="1" s="1"/>
  <c r="E23" i="3"/>
  <c r="D32" i="3"/>
  <c r="L35" i="6"/>
  <c r="L36" i="6" s="1"/>
  <c r="L37" i="6" s="1"/>
  <c r="L38" i="6" s="1"/>
  <c r="L39" i="6" s="1"/>
  <c r="L40" i="6" s="1"/>
  <c r="L41" i="6" s="1"/>
  <c r="L42" i="6" s="1"/>
  <c r="L43" i="6" s="1"/>
  <c r="L44" i="6" s="1"/>
  <c r="L45" i="6" s="1"/>
  <c r="L46" i="6" s="1"/>
  <c r="G11" i="5"/>
  <c r="H11" i="5" s="1"/>
  <c r="I11" i="5" s="1"/>
  <c r="G12" i="5"/>
  <c r="H12" i="5" s="1"/>
  <c r="I12" i="5" s="1"/>
  <c r="G13" i="5"/>
  <c r="H13" i="5" s="1"/>
  <c r="I13" i="5" s="1"/>
  <c r="G10" i="5"/>
  <c r="H10" i="5" s="1"/>
  <c r="I10" i="5" s="1"/>
  <c r="G14" i="5"/>
  <c r="H14" i="5" s="1"/>
  <c r="I14" i="5" s="1"/>
  <c r="E26" i="3"/>
  <c r="G8" i="2"/>
  <c r="F26" i="3"/>
  <c r="I26" i="3" s="1"/>
  <c r="G8" i="1" s="1"/>
  <c r="D31" i="3"/>
  <c r="K35" i="6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K46" i="6" s="1"/>
  <c r="D33" i="3"/>
  <c r="M35" i="6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G9" i="2" l="1"/>
  <c r="E32" i="3"/>
  <c r="I27" i="3"/>
  <c r="H8" i="1" s="1"/>
  <c r="F33" i="3"/>
  <c r="E33" i="3"/>
  <c r="H9" i="2"/>
  <c r="I33" i="3"/>
  <c r="H9" i="1" s="1"/>
  <c r="L16" i="5"/>
  <c r="F29" i="3"/>
  <c r="E29" i="3"/>
  <c r="I29" i="3" s="1"/>
  <c r="D9" i="1" s="1"/>
  <c r="D9" i="2"/>
  <c r="M47" i="6"/>
  <c r="D39" i="3"/>
  <c r="L14" i="5"/>
  <c r="K47" i="6"/>
  <c r="D37" i="3"/>
  <c r="L12" i="5"/>
  <c r="J13" i="5"/>
  <c r="L19" i="5"/>
  <c r="L10" i="5"/>
  <c r="I47" i="6"/>
  <c r="D35" i="3"/>
  <c r="J14" i="5"/>
  <c r="L20" i="5"/>
  <c r="E31" i="3"/>
  <c r="F31" i="3" s="1"/>
  <c r="F9" i="2"/>
  <c r="J12" i="5"/>
  <c r="L18" i="5"/>
  <c r="E30" i="3"/>
  <c r="E9" i="2"/>
  <c r="F30" i="3"/>
  <c r="I30" i="3" s="1"/>
  <c r="E9" i="1" s="1"/>
  <c r="J47" i="6"/>
  <c r="L11" i="5"/>
  <c r="D36" i="3"/>
  <c r="J11" i="5"/>
  <c r="L17" i="5"/>
  <c r="L47" i="6"/>
  <c r="L13" i="5"/>
  <c r="D38" i="3"/>
  <c r="I31" i="3" l="1"/>
  <c r="F9" i="1" s="1"/>
  <c r="E35" i="3"/>
  <c r="F35" i="3" s="1"/>
  <c r="I35" i="3" s="1"/>
  <c r="D10" i="1" s="1"/>
  <c r="D10" i="2"/>
  <c r="E10" i="2"/>
  <c r="E36" i="3"/>
  <c r="F36" i="3" s="1"/>
  <c r="I36" i="3" s="1"/>
  <c r="E10" i="1" s="1"/>
  <c r="E37" i="3"/>
  <c r="F37" i="3" s="1"/>
  <c r="F10" i="2"/>
  <c r="G10" i="2"/>
  <c r="E38" i="3"/>
  <c r="H10" i="2"/>
  <c r="E39" i="3"/>
  <c r="F39" i="3" s="1"/>
  <c r="F32" i="3"/>
  <c r="I32" i="3" s="1"/>
  <c r="G9" i="1" s="1"/>
  <c r="I38" i="3" l="1"/>
  <c r="G10" i="1" s="1"/>
  <c r="F38" i="3"/>
  <c r="I39" i="3"/>
  <c r="H10" i="1" s="1"/>
  <c r="I37" i="3"/>
  <c r="F10" i="1" s="1"/>
</calcChain>
</file>

<file path=xl/sharedStrings.xml><?xml version="1.0" encoding="utf-8"?>
<sst xmlns="http://schemas.openxmlformats.org/spreadsheetml/2006/main" count="181" uniqueCount="81">
  <si>
    <t>Remuneração dos integrantes da Carreira de Delegado de Polícia do Estado de São Paulo necessários para: (i) recompor as perdas inflacionárias acumuladas de 11.1993 a 01.2024 não compensadas pelos reajustes salariais; e (ii) a previsão de perdas inflacionárias no período 02 2024 até 12.2026</t>
  </si>
  <si>
    <t>Remuneração corrigida pelo IPCA</t>
  </si>
  <si>
    <t>Período de análise</t>
  </si>
  <si>
    <t>Descrição</t>
  </si>
  <si>
    <t xml:space="preserve"> Delegado 3ª Classe</t>
  </si>
  <si>
    <t>Delegado 2ª Classe</t>
  </si>
  <si>
    <t>Delegado 1ª Classe</t>
  </si>
  <si>
    <t>Delegado Classe Especial</t>
  </si>
  <si>
    <t>Delegado Geral de Polícia</t>
  </si>
  <si>
    <t>Vigente</t>
  </si>
  <si>
    <t>Remuneração inicial atualmente vigente</t>
  </si>
  <si>
    <t>De 11.1993 até 06.2023</t>
  </si>
  <si>
    <t>Remuneração inicial corrigida pelo IPCA em 30.06.2023</t>
  </si>
  <si>
    <t>De 07.2023 até 01.2024</t>
  </si>
  <si>
    <t>Remuneração inicial corrigida pelo IPCA em 31.01.2024 (2,11%)</t>
  </si>
  <si>
    <t>De 02.2024 até 12.2024</t>
  </si>
  <si>
    <t>Remuneração inicial corrigida pela projeção do IPCA em 31.12.2024 (3,31%)</t>
  </si>
  <si>
    <t>De 01.2025 até 12.2025</t>
  </si>
  <si>
    <t>Remuneração inicial corrigida pela projeção do IPCA em 31.12.2025 (3,52%)</t>
  </si>
  <si>
    <t>De 01.2026 até 12.2026</t>
  </si>
  <si>
    <t>Remuneração inicial corrigida pela projeção do IPCA em 31.12.2026 (3,50%)</t>
  </si>
  <si>
    <t>Padrão de vencimento dos integrantes da Carreira de Delegado de Polícia do Estado de São Paulo necessários para: (i) recompor as perdas inflacionárias acumuladas de 11.1993 a 01.2024 não compensadas pelos reajustes salariais; e (ii) a previsão de perdas inflacionárias no período 02 2024 até 12.2026</t>
  </si>
  <si>
    <t>Vencimento padrão corrigidos pelo IPCA</t>
  </si>
  <si>
    <t>Padrão de vencimento na data-base</t>
  </si>
  <si>
    <t>Padrão de vencimento corrigido pelo IPCA em 30.06.2023</t>
  </si>
  <si>
    <t>Padrão de vencimento corrigido pelo IPCA em 31.01.2024 (2,11%)</t>
  </si>
  <si>
    <t>Projeção do padrão de vencimento corrigido pelo IPCA em 31.12.2024 (3,31%)</t>
  </si>
  <si>
    <t>Projeção do padrão de vencimento corrigido pelo IPCA em 31.12.2025 (3,52%)</t>
  </si>
  <si>
    <t>Projeção do padrão de vencimento corrigido pelo IPCA em 31.12.2026 (3,50%)</t>
  </si>
  <si>
    <t>Remuneração dos integrantes da Carreira de Delegado de Polícia do Estado de São Paulo</t>
  </si>
  <si>
    <t>Denominação</t>
  </si>
  <si>
    <t>Padrão</t>
  </si>
  <si>
    <t xml:space="preserve">Vencimentos corrigidos IPCA - Salário Base (A) </t>
  </si>
  <si>
    <t>RETP (B)</t>
  </si>
  <si>
    <t>ADPJ 
C = (A+B) * 0,265</t>
  </si>
  <si>
    <t>Adicional de Insalubridade
(D)</t>
  </si>
  <si>
    <t>Gratificação de Representação 
E = UBV * 12,90</t>
  </si>
  <si>
    <t>Salário Inicial (A+B+C+D+ E)</t>
  </si>
  <si>
    <t>Vigente atualmente</t>
  </si>
  <si>
    <t>Delegado de Polícia 3ª Classe</t>
  </si>
  <si>
    <t>I</t>
  </si>
  <si>
    <t>Delegado de Polícia 2ª Classe</t>
  </si>
  <si>
    <t>II</t>
  </si>
  <si>
    <t>Delegado de Polícia 1ª Classe</t>
  </si>
  <si>
    <t>III</t>
  </si>
  <si>
    <t>Delegado de Polícia Classe Especial</t>
  </si>
  <si>
    <t>IV</t>
  </si>
  <si>
    <t>V</t>
  </si>
  <si>
    <t>Em 30.06.2023, corrigidos para recomposição das perdas inflacionárias acumuladas de 11.1993 a 06.2023 não compensadas pelos reajustes salariais fixados no mesmo período</t>
  </si>
  <si>
    <t>Em 31.01.2024, corrigidos pela inflação acumulada de 07.2023 a 01.2024</t>
  </si>
  <si>
    <t>Em 31.12.2024, corrigidos pela inflaçãoprojetada acumulada de 02.2024 a 12.2024</t>
  </si>
  <si>
    <t>Em 31.12.2025, corrigidos pela inflaçãoprojetada acumulada de 01.2025 a 12.2025</t>
  </si>
  <si>
    <t>Em 31.12.2026, corrigidos pela inflaçãoprojetada acumulada de 01.2026 a 12.2026</t>
  </si>
  <si>
    <t>Cargo</t>
  </si>
  <si>
    <t>Padrão de vencimento vigente</t>
  </si>
  <si>
    <t>Fator "R" [eq.2]</t>
  </si>
  <si>
    <t>Fator "I" [eq. 3]</t>
  </si>
  <si>
    <t>Taxa real (%) [eq. 4]</t>
  </si>
  <si>
    <t>Índice de salário real acumulado [eq. 5]</t>
  </si>
  <si>
    <t>Padrão de vencimento corrigido pelo IPCA [eq. 6]</t>
  </si>
  <si>
    <t>Reajustes salariais mínimos necessários (%)</t>
  </si>
  <si>
    <t>Salário-base suficiente para recompor o poder de compra perdido no período de 11.1993 a 06.2023</t>
  </si>
  <si>
    <t>Salário-base necessário para compensar a previsão de perda no poder de compra no período de 07.2023 a 12.2026</t>
  </si>
  <si>
    <t>Salário-base necessário para: (i) recompor as perdas inflacionárias acumuladas de 11.1993 a 01.2024 não compensadas pelos reajustes salariais; e (ii) a previsão de perdas inflacionárias no período 02 2024 até 12.2026</t>
  </si>
  <si>
    <t>Vencimento padrão corrigidos IPCA em 06.2023 (R$)</t>
  </si>
  <si>
    <r>
      <t xml:space="preserve">Nota:
</t>
    </r>
    <r>
      <rPr>
        <sz val="10"/>
        <color theme="1"/>
        <rFont val="Arial"/>
        <family val="2"/>
      </rPr>
      <t xml:space="preserve">¹ De todas as previsões coletadas diariamente pela Focus em determinado mês, para diversos meses à frente, foram consideradas apenas aquelas coletadas no dia 16 de fevereiro de 2024, data posterior a divulgação do índice de inflação (IPCA) do mês de janeiro de 2024 (dados publicados pelo IBGE dia 08/02/2024) e correspondente a data do Relatório Focus publicado em 22/02/2024. 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² O IPCA mensal é projetado para os próximos 24 meses, de forma que existem dados mensais disponíveis até fevereiro de 2026. A partir de março de 2026 os dados projetados são anuais. Para fins de análise:
   1. deduziu-se o IPCA mensal projetado de 01/2026 e 02/2026 da variação anual do IPCA de 2026;
   2. a diferença entre o IPCA anual e o IPCA de janeiro e fevereiro, correspondente ao IPCA acumulado de março a dezembro de 2026, foi mensalizado.</t>
    </r>
  </si>
  <si>
    <t>Mês</t>
  </si>
  <si>
    <t>Fim de mês</t>
  </si>
  <si>
    <t xml:space="preserve">Variação % </t>
  </si>
  <si>
    <t>Taxa</t>
  </si>
  <si>
    <t>Índice</t>
  </si>
  <si>
    <t>Índice acumulado 07.2023 a 12.2026</t>
  </si>
  <si>
    <t>Fator "I" acumulado de 07.2023 a 12.2026</t>
  </si>
  <si>
    <t>Projeção do IPCA anual</t>
  </si>
  <si>
    <t>IPCA 2026</t>
  </si>
  <si>
    <t>% anual</t>
  </si>
  <si>
    <t>% mensal</t>
  </si>
  <si>
    <t>IPCA anual</t>
  </si>
  <si>
    <t>IPCA 03/26 a 12/26</t>
  </si>
  <si>
    <t/>
  </si>
  <si>
    <t>Percentual de correção no período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</si>
</sst>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00_-;\-* #,##0.0000_-;_-* &quot;-&quot;??_-;_-@_-"/>
    <numFmt numFmtId="165" formatCode="_-* #,##0.0000000000_-;\-* #,##0.0000000000_-;_-* &quot;-&quot;??_-;_-@_-"/>
    <numFmt numFmtId="166" formatCode="dd\.mm\.yyyy;@"/>
    <numFmt numFmtId="167" formatCode="0.0000"/>
    <numFmt numFmtId="168" formatCode="_-* #,##0.0000_-;\-* #,##0.0000_-;_-* &quot;-&quot;??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color theme="8" tint="-0.249977111117893"/>
      <name val="Arial"/>
      <family val="2"/>
    </font>
    <font>
      <b/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10"/>
      <color rgb="FFC00000"/>
      <name val="Arial"/>
      <family val="2"/>
    </font>
    <font>
      <i/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theme="0" tint="-0.499984740745262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theme="0" tint="-0.499984740745262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theme="0" tint="-0.499984740745262"/>
      </diagonal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43" fontId="4" fillId="0" borderId="5" xfId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3" fontId="2" fillId="0" borderId="0" xfId="1" applyFont="1"/>
    <xf numFmtId="43" fontId="2" fillId="0" borderId="0" xfId="1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3" borderId="5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/>
    </xf>
    <xf numFmtId="43" fontId="9" fillId="3" borderId="5" xfId="0" applyNumberFormat="1" applyFont="1" applyFill="1" applyBorder="1" applyAlignment="1">
      <alignment horizontal="center"/>
    </xf>
    <xf numFmtId="10" fontId="4" fillId="0" borderId="5" xfId="2" applyNumberFormat="1" applyFont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4" fontId="10" fillId="0" borderId="5" xfId="0" applyNumberFormat="1" applyFont="1" applyBorder="1" applyAlignment="1">
      <alignment horizontal="center" vertical="center"/>
    </xf>
    <xf numFmtId="4" fontId="2" fillId="0" borderId="0" xfId="0" applyNumberFormat="1" applyFont="1"/>
    <xf numFmtId="43" fontId="6" fillId="0" borderId="0" xfId="0" applyNumberFormat="1" applyFont="1"/>
    <xf numFmtId="165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" fontId="6" fillId="2" borderId="5" xfId="0" applyNumberFormat="1" applyFont="1" applyFill="1" applyBorder="1" applyAlignment="1">
      <alignment horizontal="center"/>
    </xf>
    <xf numFmtId="166" fontId="6" fillId="2" borderId="5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6" fillId="2" borderId="5" xfId="1" applyNumberFormat="1" applyFont="1" applyFill="1" applyBorder="1" applyAlignment="1">
      <alignment horizontal="center" vertical="center" wrapText="1"/>
    </xf>
    <xf numFmtId="43" fontId="6" fillId="2" borderId="5" xfId="1" applyFont="1" applyFill="1" applyBorder="1"/>
    <xf numFmtId="17" fontId="6" fillId="0" borderId="5" xfId="0" applyNumberFormat="1" applyFont="1" applyBorder="1" applyAlignment="1">
      <alignment horizontal="center"/>
    </xf>
    <xf numFmtId="166" fontId="6" fillId="0" borderId="5" xfId="0" applyNumberFormat="1" applyFont="1" applyBorder="1" applyAlignment="1">
      <alignment horizontal="center"/>
    </xf>
    <xf numFmtId="164" fontId="12" fillId="5" borderId="5" xfId="1" applyNumberFormat="1" applyFont="1" applyFill="1" applyBorder="1" applyAlignment="1">
      <alignment horizontal="center" vertical="center" wrapText="1"/>
    </xf>
    <xf numFmtId="167" fontId="6" fillId="0" borderId="5" xfId="0" applyNumberFormat="1" applyFont="1" applyBorder="1"/>
    <xf numFmtId="164" fontId="6" fillId="0" borderId="5" xfId="1" applyNumberFormat="1" applyFont="1" applyBorder="1" applyAlignment="1">
      <alignment horizontal="center" vertical="center" wrapText="1"/>
    </xf>
    <xf numFmtId="43" fontId="6" fillId="0" borderId="5" xfId="1" applyFont="1" applyBorder="1"/>
    <xf numFmtId="167" fontId="13" fillId="6" borderId="5" xfId="0" applyNumberFormat="1" applyFont="1" applyFill="1" applyBorder="1"/>
    <xf numFmtId="0" fontId="11" fillId="2" borderId="9" xfId="0" applyFont="1" applyFill="1" applyBorder="1" applyAlignment="1">
      <alignment horizontal="left"/>
    </xf>
    <xf numFmtId="0" fontId="6" fillId="2" borderId="10" xfId="0" applyFont="1" applyFill="1" applyBorder="1"/>
    <xf numFmtId="0" fontId="6" fillId="2" borderId="11" xfId="0" applyFont="1" applyFill="1" applyBorder="1"/>
    <xf numFmtId="0" fontId="11" fillId="2" borderId="9" xfId="0" applyFont="1" applyFill="1" applyBorder="1"/>
    <xf numFmtId="0" fontId="6" fillId="2" borderId="12" xfId="0" applyFont="1" applyFill="1" applyBorder="1" applyAlignment="1">
      <alignment horizontal="center" vertical="center"/>
    </xf>
    <xf numFmtId="167" fontId="6" fillId="2" borderId="0" xfId="0" applyNumberFormat="1" applyFont="1" applyFill="1"/>
    <xf numFmtId="167" fontId="6" fillId="2" borderId="13" xfId="0" applyNumberFormat="1" applyFont="1" applyFill="1" applyBorder="1"/>
    <xf numFmtId="168" fontId="6" fillId="0" borderId="0" xfId="0" applyNumberFormat="1" applyFont="1"/>
    <xf numFmtId="0" fontId="6" fillId="2" borderId="17" xfId="0" applyFont="1" applyFill="1" applyBorder="1"/>
    <xf numFmtId="0" fontId="6" fillId="2" borderId="18" xfId="0" applyFont="1" applyFill="1" applyBorder="1"/>
    <xf numFmtId="0" fontId="11" fillId="2" borderId="18" xfId="0" applyFont="1" applyFill="1" applyBorder="1"/>
    <xf numFmtId="0" fontId="11" fillId="2" borderId="19" xfId="0" applyFont="1" applyFill="1" applyBorder="1"/>
    <xf numFmtId="0" fontId="11" fillId="2" borderId="20" xfId="0" applyFont="1" applyFill="1" applyBorder="1" applyAlignment="1">
      <alignment horizontal="left"/>
    </xf>
    <xf numFmtId="0" fontId="11" fillId="2" borderId="21" xfId="0" applyFont="1" applyFill="1" applyBorder="1" applyAlignment="1">
      <alignment horizontal="left"/>
    </xf>
    <xf numFmtId="167" fontId="11" fillId="2" borderId="21" xfId="0" applyNumberFormat="1" applyFont="1" applyFill="1" applyBorder="1"/>
    <xf numFmtId="0" fontId="11" fillId="2" borderId="22" xfId="0" applyFont="1" applyFill="1" applyBorder="1"/>
    <xf numFmtId="17" fontId="14" fillId="2" borderId="12" xfId="0" applyNumberFormat="1" applyFont="1" applyFill="1" applyBorder="1" applyAlignment="1">
      <alignment horizontal="left"/>
    </xf>
    <xf numFmtId="17" fontId="14" fillId="2" borderId="0" xfId="0" applyNumberFormat="1" applyFont="1" applyFill="1" applyAlignment="1">
      <alignment horizontal="left"/>
    </xf>
    <xf numFmtId="167" fontId="14" fillId="2" borderId="0" xfId="0" applyNumberFormat="1" applyFont="1" applyFill="1"/>
    <xf numFmtId="167" fontId="14" fillId="2" borderId="13" xfId="0" applyNumberFormat="1" applyFont="1" applyFill="1" applyBorder="1"/>
    <xf numFmtId="0" fontId="6" fillId="2" borderId="14" xfId="0" applyFont="1" applyFill="1" applyBorder="1" applyAlignment="1">
      <alignment horizontal="center" vertical="center"/>
    </xf>
    <xf numFmtId="167" fontId="6" fillId="2" borderId="15" xfId="0" applyNumberFormat="1" applyFont="1" applyFill="1" applyBorder="1"/>
    <xf numFmtId="167" fontId="6" fillId="2" borderId="16" xfId="0" applyNumberFormat="1" applyFont="1" applyFill="1" applyBorder="1"/>
    <xf numFmtId="0" fontId="6" fillId="2" borderId="14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left"/>
    </xf>
    <xf numFmtId="0" fontId="6" fillId="2" borderId="16" xfId="0" applyFont="1" applyFill="1" applyBorder="1"/>
    <xf numFmtId="0" fontId="6" fillId="0" borderId="5" xfId="0" applyFont="1" applyBorder="1"/>
    <xf numFmtId="0" fontId="2" fillId="0" borderId="0" xfId="0" quotePrefix="1" applyFont="1"/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43" fontId="9" fillId="3" borderId="7" xfId="0" applyNumberFormat="1" applyFont="1" applyFill="1" applyBorder="1" applyAlignment="1">
      <alignment horizontal="center" vertical="center"/>
    </xf>
    <xf numFmtId="43" fontId="9" fillId="3" borderId="8" xfId="0" applyNumberFormat="1" applyFont="1" applyFill="1" applyBorder="1" applyAlignment="1">
      <alignment horizontal="center" vertical="center"/>
    </xf>
    <xf numFmtId="43" fontId="9" fillId="3" borderId="4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10" fontId="4" fillId="0" borderId="5" xfId="2" applyNumberFormat="1" applyFont="1" applyBorder="1" applyAlignment="1">
      <alignment horizontal="center" vertical="center"/>
    </xf>
    <xf numFmtId="4" fontId="4" fillId="2" borderId="23" xfId="0" applyNumberFormat="1" applyFont="1" applyFill="1" applyBorder="1" applyAlignment="1">
      <alignment horizontal="center" vertical="center"/>
    </xf>
    <xf numFmtId="4" fontId="4" fillId="2" borderId="24" xfId="0" applyNumberFormat="1" applyFont="1" applyFill="1" applyBorder="1" applyAlignment="1">
      <alignment horizontal="center" vertical="center"/>
    </xf>
    <xf numFmtId="4" fontId="4" fillId="2" borderId="25" xfId="0" applyNumberFormat="1" applyFont="1" applyFill="1" applyBorder="1" applyAlignment="1">
      <alignment horizontal="center" vertical="center"/>
    </xf>
    <xf numFmtId="164" fontId="6" fillId="0" borderId="0" xfId="1" applyNumberFormat="1" applyFont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razi\OneDrive\Favoritos\Documentos\01.%20Profissional\06.%20Per&#237;cia%20Judicial\Parecer%20t&#233;cnico%20SINDPESP\Parecer%20T&#233;cnico\Anexo%20IV%20Proje&#231;&#227;o%20da%20Remunera&#231;&#227;o%20ap&#243;s%20recomposi&#231;&#227;o%20da%20infla&#231;&#227;o.xlsx" TargetMode="External"/><Relationship Id="rId1" Type="http://schemas.openxmlformats.org/officeDocument/2006/relationships/externalLinkPath" Target="Anexo%20IV%20Proje&#231;&#227;o%20da%20Remunera&#231;&#227;o%20ap&#243;s%20recomposi&#231;&#227;o%20da%20infla&#231;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o_Projeção_Remuneraçã in"/>
      <sheetName val="Resumo_Projeção_Salario-base"/>
      <sheetName val="Simulação Remun Inicial por ano"/>
      <sheetName val="Simulação Remun Inicial "/>
      <sheetName val="Simulação Padrão de Vencimento"/>
      <sheetName val="Salário inicial vigente"/>
      <sheetName val="Parâmetros_Gratificações"/>
      <sheetName val="Venc corrigido mês-7.23 a 12.26"/>
      <sheetName val="Reajustes mín necessários"/>
      <sheetName val="Fator &quot;I&quot; 7.2023 a 12.2026"/>
      <sheetName val="IPCA mensal 1980 a 1.2024"/>
      <sheetName val="IPCA projetado 2.24 a 12.26"/>
      <sheetName val="IPCA mensal projetado"/>
      <sheetName val="IPCA anual projetado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B12">
            <v>0.26500000000000001</v>
          </cell>
        </row>
        <row r="14">
          <cell r="C14">
            <v>785.67</v>
          </cell>
        </row>
        <row r="18">
          <cell r="C18">
            <v>12.9</v>
          </cell>
        </row>
        <row r="21">
          <cell r="C21">
            <v>120.68</v>
          </cell>
        </row>
      </sheetData>
      <sheetData sheetId="7"/>
      <sheetData sheetId="8"/>
      <sheetData sheetId="9"/>
      <sheetData sheetId="10">
        <row r="526">
          <cell r="E526">
            <v>0.12</v>
          </cell>
        </row>
        <row r="527">
          <cell r="E527">
            <v>0.23</v>
          </cell>
        </row>
        <row r="528">
          <cell r="E528">
            <v>0.26</v>
          </cell>
        </row>
        <row r="529">
          <cell r="E529">
            <v>0.24</v>
          </cell>
        </row>
        <row r="530">
          <cell r="E530">
            <v>0.28000000000000003</v>
          </cell>
        </row>
        <row r="531">
          <cell r="E531">
            <v>0.56000000000000005</v>
          </cell>
        </row>
        <row r="532">
          <cell r="E532">
            <v>0.42</v>
          </cell>
        </row>
        <row r="567">
          <cell r="I567">
            <v>139.87991030390359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BD14-7B7F-46D7-BFC7-D0E1D5BDE4FE}">
  <dimension ref="B1:H10"/>
  <sheetViews>
    <sheetView showGridLines="0" zoomScale="110" zoomScaleNormal="110" workbookViewId="0">
      <selection activeCell="I8" sqref="I8"/>
    </sheetView>
  </sheetViews>
  <sheetFormatPr defaultRowHeight="12" x14ac:dyDescent="0.2"/>
  <cols>
    <col min="1" max="1" width="2" style="1" customWidth="1"/>
    <col min="2" max="2" width="19.28515625" style="1" customWidth="1"/>
    <col min="3" max="3" width="28.28515625" style="1" customWidth="1"/>
    <col min="4" max="4" width="10.85546875" style="1" customWidth="1"/>
    <col min="5" max="5" width="10" style="1" bestFit="1" customWidth="1"/>
    <col min="6" max="6" width="10.140625" style="1" bestFit="1" customWidth="1"/>
    <col min="7" max="8" width="10.28515625" style="1" bestFit="1" customWidth="1"/>
    <col min="9" max="16384" width="9.140625" style="1"/>
  </cols>
  <sheetData>
    <row r="1" spans="2:8" ht="9.75" customHeight="1" thickBot="1" x14ac:dyDescent="0.25">
      <c r="B1" s="73" t="s">
        <v>79</v>
      </c>
    </row>
    <row r="2" spans="2:8" ht="39" customHeight="1" thickBot="1" x14ac:dyDescent="0.25">
      <c r="B2" s="74" t="s">
        <v>0</v>
      </c>
      <c r="C2" s="75"/>
      <c r="D2" s="75"/>
      <c r="E2" s="75"/>
      <c r="F2" s="75"/>
      <c r="G2" s="75"/>
      <c r="H2" s="76"/>
    </row>
    <row r="3" spans="2:8" x14ac:dyDescent="0.2">
      <c r="D3" s="77" t="s">
        <v>1</v>
      </c>
      <c r="E3" s="77"/>
      <c r="F3" s="77"/>
      <c r="G3" s="77"/>
      <c r="H3" s="77"/>
    </row>
    <row r="4" spans="2:8" ht="36" x14ac:dyDescent="0.2"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</row>
    <row r="5" spans="2:8" s="6" customFormat="1" ht="24" x14ac:dyDescent="0.25">
      <c r="B5" s="3" t="s">
        <v>9</v>
      </c>
      <c r="C5" s="4" t="s">
        <v>10</v>
      </c>
      <c r="D5" s="5">
        <f>'Simulação Remun Inicial por ano'!$I$5</f>
        <v>15823.661099999999</v>
      </c>
      <c r="E5" s="5">
        <f>'Simulação Remun Inicial por ano'!$I$6</f>
        <v>16808.7925</v>
      </c>
      <c r="F5" s="5">
        <f>'Simulação Remun Inicial por ano'!$I$7</f>
        <v>17867.243299999998</v>
      </c>
      <c r="G5" s="5">
        <f>'Simulação Remun Inicial por ano'!$I$8</f>
        <v>18879.243299999998</v>
      </c>
      <c r="H5" s="5">
        <f>'Simulação Remun Inicial por ano'!$I$9</f>
        <v>24435.287500000002</v>
      </c>
    </row>
    <row r="6" spans="2:8" s="6" customFormat="1" ht="24" x14ac:dyDescent="0.25">
      <c r="B6" s="3" t="s">
        <v>11</v>
      </c>
      <c r="C6" s="4" t="s">
        <v>12</v>
      </c>
      <c r="D6" s="5">
        <f>'Simulação Remun Inicial por ano'!I11</f>
        <v>19315.106978128108</v>
      </c>
      <c r="E6" s="5">
        <f>'Simulação Remun Inicial por ano'!I12</f>
        <v>21345.730021773241</v>
      </c>
      <c r="F6" s="5">
        <f>'Simulação Remun Inicial por ano'!I13</f>
        <v>23630.181514162778</v>
      </c>
      <c r="G6" s="5">
        <f>'Simulação Remun Inicial por ano'!I14</f>
        <v>24899.320348152221</v>
      </c>
      <c r="H6" s="5">
        <f>'Simulação Remun Inicial por ano'!I15</f>
        <v>27725.232318719194</v>
      </c>
    </row>
    <row r="7" spans="2:8" s="6" customFormat="1" ht="24" x14ac:dyDescent="0.25">
      <c r="B7" s="3" t="s">
        <v>13</v>
      </c>
      <c r="C7" s="4" t="s">
        <v>14</v>
      </c>
      <c r="D7" s="5">
        <f>'Simulação Remun Inicial por ano'!$I17</f>
        <v>19709.514029214279</v>
      </c>
      <c r="E7" s="5">
        <f>'Simulação Remun Inicial por ano'!$I18</f>
        <v>21783.359759412546</v>
      </c>
      <c r="F7" s="5">
        <f>'Simulação Remun Inicial por ano'!$I19</f>
        <v>24116.436786270631</v>
      </c>
      <c r="G7" s="5">
        <f>'Simulação Remun Inicial por ano'!$I20</f>
        <v>25412.589787259509</v>
      </c>
      <c r="H7" s="5">
        <f>'Simulação Remun Inicial por ano'!$I21</f>
        <v>28265.515949018463</v>
      </c>
    </row>
    <row r="8" spans="2:8" s="6" customFormat="1" ht="36" x14ac:dyDescent="0.25">
      <c r="B8" s="3" t="s">
        <v>15</v>
      </c>
      <c r="C8" s="4" t="s">
        <v>16</v>
      </c>
      <c r="D8" s="5">
        <f>'Simulação Remun Inicial por ano'!$I23</f>
        <v>20345.528520167121</v>
      </c>
      <c r="E8" s="5">
        <f>'Simulação Remun Inicial por ano'!$I24</f>
        <v>22489.074462138993</v>
      </c>
      <c r="F8" s="5">
        <f>'Simulação Remun Inicial por ano'!$I25</f>
        <v>24900.564246748629</v>
      </c>
      <c r="G8" s="5">
        <f>'Simulação Remun Inicial por ano'!$I26</f>
        <v>26240.279860589748</v>
      </c>
      <c r="H8" s="5">
        <f>'Simulação Remun Inicial por ano'!$I27</f>
        <v>29136.768674213454</v>
      </c>
    </row>
    <row r="9" spans="2:8" s="6" customFormat="1" ht="36" x14ac:dyDescent="0.25">
      <c r="B9" s="3" t="s">
        <v>17</v>
      </c>
      <c r="C9" s="4" t="s">
        <v>18</v>
      </c>
      <c r="D9" s="5">
        <f>'Simulação Remun Inicial por ano'!$I29</f>
        <v>21045.204792065175</v>
      </c>
      <c r="E9" s="5">
        <f>'Simulação Remun Inicial por ano'!$I30</f>
        <v>23265.42757869697</v>
      </c>
      <c r="F9" s="5">
        <f>'Simulação Remun Inicial por ano'!$I31</f>
        <v>25763.178835007762</v>
      </c>
      <c r="G9" s="5">
        <f>'Simulação Remun Inicial por ano'!$I32</f>
        <v>27150.817455302611</v>
      </c>
      <c r="H9" s="5">
        <f>'Simulação Remun Inicial por ano'!$I33</f>
        <v>30095.229318297494</v>
      </c>
    </row>
    <row r="10" spans="2:8" s="6" customFormat="1" ht="36" x14ac:dyDescent="0.25">
      <c r="B10" s="3" t="s">
        <v>19</v>
      </c>
      <c r="C10" s="4" t="s">
        <v>20</v>
      </c>
      <c r="D10" s="5">
        <f>'Simulação Remun Inicial por ano'!$I35</f>
        <v>21765.710983889105</v>
      </c>
      <c r="E10" s="5">
        <f>'Simulação Remun Inicial por ano'!$I36</f>
        <v>24064.893345921584</v>
      </c>
      <c r="F10" s="5">
        <f>'Simulação Remun Inicial por ano'!$I37</f>
        <v>26651.474146655706</v>
      </c>
      <c r="G10" s="5">
        <f>'Simulação Remun Inicial por ano'!$I38</f>
        <v>28088.462479478414</v>
      </c>
      <c r="H10" s="5">
        <f>'Simulação Remun Inicial por ano'!$I39</f>
        <v>31082.224099196286</v>
      </c>
    </row>
  </sheetData>
  <mergeCells count="2">
    <mergeCell ref="B2:H2"/>
    <mergeCell ref="D3:H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C0BF5-F3AF-47ED-A4ED-4C6E0DDDEDF5}">
  <dimension ref="B1:J10"/>
  <sheetViews>
    <sheetView showGridLines="0" zoomScale="110" zoomScaleNormal="110" workbookViewId="0">
      <selection activeCell="D18" sqref="D18"/>
    </sheetView>
  </sheetViews>
  <sheetFormatPr defaultRowHeight="12" x14ac:dyDescent="0.2"/>
  <cols>
    <col min="1" max="1" width="2" style="1" customWidth="1"/>
    <col min="2" max="2" width="19.28515625" style="1" customWidth="1"/>
    <col min="3" max="3" width="28.28515625" style="1" customWidth="1"/>
    <col min="4" max="4" width="10.85546875" style="1" customWidth="1"/>
    <col min="5" max="5" width="9.28515625" style="1" bestFit="1" customWidth="1"/>
    <col min="6" max="6" width="10" style="1" bestFit="1" customWidth="1"/>
    <col min="7" max="8" width="10.140625" style="1" bestFit="1" customWidth="1"/>
    <col min="9" max="9" width="11" style="1" bestFit="1" customWidth="1"/>
    <col min="10" max="10" width="10" style="1" bestFit="1" customWidth="1"/>
    <col min="11" max="16384" width="9.140625" style="1"/>
  </cols>
  <sheetData>
    <row r="1" spans="2:10" ht="9.75" customHeight="1" thickBot="1" x14ac:dyDescent="0.25"/>
    <row r="2" spans="2:10" ht="39" customHeight="1" thickBot="1" x14ac:dyDescent="0.25">
      <c r="B2" s="74" t="s">
        <v>21</v>
      </c>
      <c r="C2" s="75"/>
      <c r="D2" s="75"/>
      <c r="E2" s="75"/>
      <c r="F2" s="75"/>
      <c r="G2" s="75"/>
      <c r="H2" s="76"/>
    </row>
    <row r="3" spans="2:10" x14ac:dyDescent="0.2">
      <c r="D3" s="77" t="s">
        <v>22</v>
      </c>
      <c r="E3" s="77"/>
      <c r="F3" s="77"/>
      <c r="G3" s="77"/>
      <c r="H3" s="77"/>
    </row>
    <row r="4" spans="2:10" ht="36" x14ac:dyDescent="0.2"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7"/>
    </row>
    <row r="5" spans="2:10" s="6" customFormat="1" x14ac:dyDescent="0.25">
      <c r="B5" s="3" t="s">
        <v>9</v>
      </c>
      <c r="C5" s="3" t="s">
        <v>23</v>
      </c>
      <c r="D5" s="5">
        <f>'Simulação Remun Inicial por ano'!$D$5</f>
        <v>5943.87</v>
      </c>
      <c r="E5" s="5">
        <f>'Simulação Remun Inicial por ano'!$D$6</f>
        <v>6333.25</v>
      </c>
      <c r="F5" s="5">
        <f>'Simulação Remun Inicial por ano'!$D$7</f>
        <v>6751.61</v>
      </c>
      <c r="G5" s="5">
        <f>'Simulação Remun Inicial por ano'!$D$8</f>
        <v>7151.61</v>
      </c>
      <c r="H5" s="5">
        <f>'Simulação Remun Inicial por ano'!$D$9</f>
        <v>8732.35</v>
      </c>
      <c r="I5" s="8"/>
      <c r="J5" s="9"/>
    </row>
    <row r="6" spans="2:10" s="6" customFormat="1" ht="24" x14ac:dyDescent="0.25">
      <c r="B6" s="3" t="s">
        <v>11</v>
      </c>
      <c r="C6" s="4" t="s">
        <v>24</v>
      </c>
      <c r="D6" s="5">
        <f>'Simulação Remun Inicial por ano'!D11</f>
        <v>7323.8881336474742</v>
      </c>
      <c r="E6" s="5">
        <f>'Simulação Remun Inicial por ano'!D12</f>
        <v>8126.5059374597804</v>
      </c>
      <c r="F6" s="5">
        <f>'Simulação Remun Inicial por ano'!D13</f>
        <v>9029.4511913686874</v>
      </c>
      <c r="G6" s="5">
        <f>'Simulação Remun Inicial por ano'!D14</f>
        <v>9531.0870941313133</v>
      </c>
      <c r="H6" s="5">
        <f>'Simulação Remun Inicial por ano'!D15</f>
        <v>10032.723446134069</v>
      </c>
      <c r="I6" s="8"/>
      <c r="J6" s="9"/>
    </row>
    <row r="7" spans="2:10" s="6" customFormat="1" ht="24" x14ac:dyDescent="0.25">
      <c r="B7" s="3" t="s">
        <v>13</v>
      </c>
      <c r="C7" s="4" t="s">
        <v>25</v>
      </c>
      <c r="D7" s="5">
        <f>'Simulação Remun Inicial por ano'!$D17</f>
        <v>7479.7802487012968</v>
      </c>
      <c r="E7" s="5">
        <f>'Simulação Remun Inicial por ano'!$D18</f>
        <v>8299.4821183448803</v>
      </c>
      <c r="F7" s="5">
        <f>'Simulação Remun Inicial por ano'!$D19</f>
        <v>9221.6469510951119</v>
      </c>
      <c r="G7" s="5">
        <f>'Simulação Remun Inicial por ano'!$D20</f>
        <v>9733.9603902211511</v>
      </c>
      <c r="H7" s="5">
        <f>'Simulação Remun Inicial por ano'!$D21</f>
        <v>10246.274288149591</v>
      </c>
      <c r="I7" s="8"/>
      <c r="J7" s="9"/>
    </row>
    <row r="8" spans="2:10" s="6" customFormat="1" ht="36" x14ac:dyDescent="0.25">
      <c r="B8" s="3" t="s">
        <v>15</v>
      </c>
      <c r="C8" s="4" t="s">
        <v>26</v>
      </c>
      <c r="D8" s="5">
        <f>'Simulação Remun Inicial por ano'!$D23</f>
        <v>7731.1693755601282</v>
      </c>
      <c r="E8" s="5">
        <f>'Simulação Remun Inicial por ano'!$D24</f>
        <v>8578.4207360233177</v>
      </c>
      <c r="F8" s="5">
        <f>'Simulação Remun Inicial por ano'!$D25</f>
        <v>9531.5787536555854</v>
      </c>
      <c r="G8" s="5">
        <f>'Simulação Remun Inicial por ano'!$D26</f>
        <v>10061.110616833894</v>
      </c>
      <c r="H8" s="5">
        <f>'Simulação Remun Inicial por ano'!$D27</f>
        <v>10590.642954234567</v>
      </c>
      <c r="I8" s="8"/>
      <c r="J8" s="9"/>
    </row>
    <row r="9" spans="2:10" s="6" customFormat="1" ht="36" x14ac:dyDescent="0.25">
      <c r="B9" s="3" t="s">
        <v>17</v>
      </c>
      <c r="C9" s="4" t="s">
        <v>27</v>
      </c>
      <c r="D9" s="5">
        <f>'Simulação Remun Inicial por ano'!$D29</f>
        <v>8007.7212616858396</v>
      </c>
      <c r="E9" s="5">
        <f>'Simulação Remun Inicial por ano'!$D30</f>
        <v>8885.2796753742969</v>
      </c>
      <c r="F9" s="5">
        <f>'Simulação Remun Inicial por ano'!$D31</f>
        <v>9872.5331363667046</v>
      </c>
      <c r="G9" s="5">
        <f>'Simulação Remun Inicial por ano'!$D32</f>
        <v>10421.006899329095</v>
      </c>
      <c r="H9" s="5">
        <f>'Simulação Remun Inicial por ano'!$D33</f>
        <v>10969.481153477271</v>
      </c>
      <c r="I9" s="8"/>
      <c r="J9" s="9"/>
    </row>
    <row r="10" spans="2:10" s="6" customFormat="1" ht="36" x14ac:dyDescent="0.25">
      <c r="B10" s="3" t="s">
        <v>19</v>
      </c>
      <c r="C10" s="4" t="s">
        <v>28</v>
      </c>
      <c r="D10" s="5">
        <f>'Simulação Remun Inicial por ano'!$D35</f>
        <v>8292.5063177427292</v>
      </c>
      <c r="E10" s="5">
        <f>'Simulação Remun Inicial por ano'!$D36</f>
        <v>9201.2740497713785</v>
      </c>
      <c r="F10" s="5">
        <f>'Simulação Remun Inicial por ano'!$D37</f>
        <v>10223.638002630714</v>
      </c>
      <c r="G10" s="5">
        <f>'Simulação Remun Inicial por ano'!$D38</f>
        <v>10791.617580821508</v>
      </c>
      <c r="H10" s="5">
        <f>'Simulação Remun Inicial por ano'!$D39</f>
        <v>11359.597667666516</v>
      </c>
      <c r="I10" s="8"/>
      <c r="J10" s="9"/>
    </row>
  </sheetData>
  <mergeCells count="2">
    <mergeCell ref="B2:H2"/>
    <mergeCell ref="D3:H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C2D53-10F0-4628-B06C-0290A5F99004}">
  <dimension ref="B1:K39"/>
  <sheetViews>
    <sheetView showGridLines="0" tabSelected="1" topLeftCell="A4" zoomScale="110" zoomScaleNormal="110" workbookViewId="0">
      <selection activeCell="K12" sqref="K12:K40"/>
    </sheetView>
  </sheetViews>
  <sheetFormatPr defaultRowHeight="12.75" x14ac:dyDescent="0.2"/>
  <cols>
    <col min="1" max="1" width="2" style="11" customWidth="1"/>
    <col min="2" max="2" width="32.140625" style="11" customWidth="1"/>
    <col min="3" max="3" width="6.85546875" style="11" customWidth="1"/>
    <col min="4" max="4" width="12.42578125" style="11" customWidth="1"/>
    <col min="5" max="5" width="8.85546875" style="11" customWidth="1"/>
    <col min="6" max="6" width="9.7109375" style="11" customWidth="1"/>
    <col min="7" max="7" width="12.28515625" style="11" customWidth="1"/>
    <col min="8" max="8" width="14" style="11" customWidth="1"/>
    <col min="9" max="10" width="13.42578125" style="11" customWidth="1"/>
    <col min="11" max="16384" width="9.140625" style="11"/>
  </cols>
  <sheetData>
    <row r="1" spans="2:10" ht="3" customHeight="1" x14ac:dyDescent="0.2"/>
    <row r="2" spans="2:10" ht="15" x14ac:dyDescent="0.2">
      <c r="B2" s="10" t="s">
        <v>29</v>
      </c>
    </row>
    <row r="3" spans="2:10" s="1" customFormat="1" ht="48" x14ac:dyDescent="0.2">
      <c r="B3" s="12" t="s">
        <v>30</v>
      </c>
      <c r="C3" s="12" t="s">
        <v>31</v>
      </c>
      <c r="D3" s="12" t="s">
        <v>32</v>
      </c>
      <c r="E3" s="12" t="s">
        <v>33</v>
      </c>
      <c r="F3" s="12" t="s">
        <v>34</v>
      </c>
      <c r="G3" s="12" t="s">
        <v>35</v>
      </c>
      <c r="H3" s="12" t="s">
        <v>36</v>
      </c>
      <c r="I3" s="12" t="s">
        <v>37</v>
      </c>
      <c r="J3" s="12" t="s">
        <v>80</v>
      </c>
    </row>
    <row r="4" spans="2:10" s="1" customFormat="1" ht="12" x14ac:dyDescent="0.2">
      <c r="B4" s="79" t="s">
        <v>38</v>
      </c>
      <c r="C4" s="79"/>
      <c r="D4" s="79"/>
      <c r="E4" s="79"/>
      <c r="F4" s="79"/>
      <c r="G4" s="79"/>
      <c r="H4" s="79"/>
      <c r="I4" s="79"/>
      <c r="J4" s="79"/>
    </row>
    <row r="5" spans="2:10" s="1" customFormat="1" ht="12" x14ac:dyDescent="0.2">
      <c r="B5" s="13" t="s">
        <v>39</v>
      </c>
      <c r="C5" s="14" t="s">
        <v>40</v>
      </c>
      <c r="D5" s="15">
        <f>'Simulação Padrão de Vencimento'!D4</f>
        <v>5943.87</v>
      </c>
      <c r="E5" s="15">
        <f>D5*1</f>
        <v>5943.87</v>
      </c>
      <c r="F5" s="15">
        <f>(D5+E5)*[1]Parâmetros_Gratificações!$B$12</f>
        <v>3150.2511</v>
      </c>
      <c r="G5" s="15">
        <f>[1]Parâmetros_Gratificações!$C$14</f>
        <v>785.67</v>
      </c>
      <c r="H5" s="15"/>
      <c r="I5" s="15">
        <f>D5+E5+F5+G5</f>
        <v>15823.661099999999</v>
      </c>
      <c r="J5" s="94"/>
    </row>
    <row r="6" spans="2:10" s="1" customFormat="1" ht="12" x14ac:dyDescent="0.2">
      <c r="B6" s="13" t="s">
        <v>41</v>
      </c>
      <c r="C6" s="14" t="s">
        <v>42</v>
      </c>
      <c r="D6" s="15">
        <f>'Simulação Padrão de Vencimento'!D5</f>
        <v>6333.25</v>
      </c>
      <c r="E6" s="15">
        <f t="shared" ref="E6:E9" si="0">D6*1</f>
        <v>6333.25</v>
      </c>
      <c r="F6" s="15">
        <f>(D6+E6)*[1]Parâmetros_Gratificações!$B$12</f>
        <v>3356.6224999999999</v>
      </c>
      <c r="G6" s="15">
        <f>[1]Parâmetros_Gratificações!$C$14</f>
        <v>785.67</v>
      </c>
      <c r="H6" s="15"/>
      <c r="I6" s="15">
        <f>D6+E6+F6+G6</f>
        <v>16808.7925</v>
      </c>
      <c r="J6" s="95"/>
    </row>
    <row r="7" spans="2:10" s="1" customFormat="1" ht="12" x14ac:dyDescent="0.2">
      <c r="B7" s="13" t="s">
        <v>43</v>
      </c>
      <c r="C7" s="14" t="s">
        <v>44</v>
      </c>
      <c r="D7" s="15">
        <f>'Simulação Padrão de Vencimento'!D6</f>
        <v>6751.61</v>
      </c>
      <c r="E7" s="15">
        <f t="shared" si="0"/>
        <v>6751.61</v>
      </c>
      <c r="F7" s="15">
        <f>(D7+E7)*[1]Parâmetros_Gratificações!$B$12</f>
        <v>3578.3533000000002</v>
      </c>
      <c r="G7" s="15">
        <f>[1]Parâmetros_Gratificações!$C$14</f>
        <v>785.67</v>
      </c>
      <c r="H7" s="15"/>
      <c r="I7" s="15">
        <f>D7+E7+F7+G7</f>
        <v>17867.243299999998</v>
      </c>
      <c r="J7" s="95"/>
    </row>
    <row r="8" spans="2:10" s="1" customFormat="1" ht="13.5" customHeight="1" x14ac:dyDescent="0.2">
      <c r="B8" s="13" t="s">
        <v>45</v>
      </c>
      <c r="C8" s="14" t="s">
        <v>46</v>
      </c>
      <c r="D8" s="15">
        <f>'Simulação Padrão de Vencimento'!D7</f>
        <v>7151.61</v>
      </c>
      <c r="E8" s="15">
        <f t="shared" si="0"/>
        <v>7151.61</v>
      </c>
      <c r="F8" s="15">
        <f>(D8+E8)*[1]Parâmetros_Gratificações!$B$12</f>
        <v>3790.3533000000002</v>
      </c>
      <c r="G8" s="15">
        <f>[1]Parâmetros_Gratificações!$C$14</f>
        <v>785.67</v>
      </c>
      <c r="H8" s="15"/>
      <c r="I8" s="15">
        <f>D8+E8+F8+G8</f>
        <v>18879.243299999998</v>
      </c>
      <c r="J8" s="95"/>
    </row>
    <row r="9" spans="2:10" s="1" customFormat="1" ht="12" x14ac:dyDescent="0.2">
      <c r="B9" s="13" t="s">
        <v>8</v>
      </c>
      <c r="C9" s="14" t="s">
        <v>47</v>
      </c>
      <c r="D9" s="15">
        <f>'Simulação Padrão de Vencimento'!D8</f>
        <v>8732.35</v>
      </c>
      <c r="E9" s="15">
        <f t="shared" si="0"/>
        <v>8732.35</v>
      </c>
      <c r="F9" s="15">
        <f>(D9+E9)*[1]Parâmetros_Gratificações!$B$12</f>
        <v>4628.1455000000005</v>
      </c>
      <c r="G9" s="15">
        <f>[1]Parâmetros_Gratificações!$C$14</f>
        <v>785.67</v>
      </c>
      <c r="H9" s="15">
        <f>[1]Parâmetros_Gratificações!$C$21*[1]Parâmetros_Gratificações!$C$18</f>
        <v>1556.7720000000002</v>
      </c>
      <c r="I9" s="15">
        <f>D9+E9+F9+H9+G9</f>
        <v>24435.287500000002</v>
      </c>
      <c r="J9" s="96"/>
    </row>
    <row r="10" spans="2:10" s="1" customFormat="1" ht="24" customHeight="1" x14ac:dyDescent="0.2">
      <c r="B10" s="79" t="s">
        <v>48</v>
      </c>
      <c r="C10" s="79"/>
      <c r="D10" s="79"/>
      <c r="E10" s="79"/>
      <c r="F10" s="79"/>
      <c r="G10" s="79"/>
      <c r="H10" s="79"/>
      <c r="I10" s="79"/>
      <c r="J10" s="79"/>
    </row>
    <row r="11" spans="2:10" s="1" customFormat="1" ht="12" x14ac:dyDescent="0.2">
      <c r="B11" s="13" t="s">
        <v>39</v>
      </c>
      <c r="C11" s="14" t="s">
        <v>40</v>
      </c>
      <c r="D11" s="15">
        <f>'Simulação Padrão de Vencimento'!I4</f>
        <v>7323.8881336474742</v>
      </c>
      <c r="E11" s="15">
        <f>D11*1</f>
        <v>7323.8881336474742</v>
      </c>
      <c r="F11" s="15">
        <f>(D11+E11)*[1]Parâmetros_Gratificações!$B$12</f>
        <v>3881.6607108331614</v>
      </c>
      <c r="G11" s="15">
        <f>[1]Parâmetros_Gratificações!$C$14</f>
        <v>785.67</v>
      </c>
      <c r="H11" s="15"/>
      <c r="I11" s="15">
        <f>D11+E11+F11+G11</f>
        <v>19315.106978128108</v>
      </c>
      <c r="J11" s="93">
        <f>D11/D5-1</f>
        <v>0.23217501958277587</v>
      </c>
    </row>
    <row r="12" spans="2:10" s="1" customFormat="1" ht="12" x14ac:dyDescent="0.2">
      <c r="B12" s="13" t="s">
        <v>41</v>
      </c>
      <c r="C12" s="14" t="s">
        <v>42</v>
      </c>
      <c r="D12" s="15">
        <f>'Simulação Padrão de Vencimento'!I5</f>
        <v>8126.5059374597804</v>
      </c>
      <c r="E12" s="15">
        <f t="shared" ref="E12:E15" si="1">D12*1</f>
        <v>8126.5059374597804</v>
      </c>
      <c r="F12" s="15">
        <f>(D12+E12)*[1]Parâmetros_Gratificações!$B$12</f>
        <v>4307.0481468536836</v>
      </c>
      <c r="G12" s="15">
        <f>[1]Parâmetros_Gratificações!$C$14</f>
        <v>785.67</v>
      </c>
      <c r="H12" s="15"/>
      <c r="I12" s="15">
        <f>D12+E12+F12+G12</f>
        <v>21345.730021773241</v>
      </c>
      <c r="J12" s="93">
        <f t="shared" ref="J12:J15" si="2">D12/D6-1</f>
        <v>0.28314939998575461</v>
      </c>
    </row>
    <row r="13" spans="2:10" s="1" customFormat="1" ht="12" x14ac:dyDescent="0.2">
      <c r="B13" s="13" t="s">
        <v>43</v>
      </c>
      <c r="C13" s="14" t="s">
        <v>44</v>
      </c>
      <c r="D13" s="15">
        <f>'Simulação Padrão de Vencimento'!I6</f>
        <v>9029.4511913686874</v>
      </c>
      <c r="E13" s="15">
        <f t="shared" si="1"/>
        <v>9029.4511913686874</v>
      </c>
      <c r="F13" s="15">
        <f>(D13+E13)*[1]Parâmetros_Gratificações!$B$12</f>
        <v>4785.6091314254045</v>
      </c>
      <c r="G13" s="15">
        <f>[1]Parâmetros_Gratificações!$C$14</f>
        <v>785.67</v>
      </c>
      <c r="H13" s="15"/>
      <c r="I13" s="15">
        <f>D13+E13+F13+G13</f>
        <v>23630.181514162778</v>
      </c>
      <c r="J13" s="93">
        <f t="shared" si="2"/>
        <v>0.33737748349929686</v>
      </c>
    </row>
    <row r="14" spans="2:10" s="1" customFormat="1" ht="13.5" customHeight="1" x14ac:dyDescent="0.2">
      <c r="B14" s="13" t="s">
        <v>45</v>
      </c>
      <c r="C14" s="14" t="s">
        <v>46</v>
      </c>
      <c r="D14" s="15">
        <f>'Simulação Padrão de Vencimento'!I7</f>
        <v>9531.0870941313133</v>
      </c>
      <c r="E14" s="15">
        <f t="shared" si="1"/>
        <v>9531.0870941313133</v>
      </c>
      <c r="F14" s="15">
        <f>(D14+E14)*[1]Parâmetros_Gratificações!$B$12</f>
        <v>5051.4761598895966</v>
      </c>
      <c r="G14" s="15">
        <f>[1]Parâmetros_Gratificações!$C$14</f>
        <v>785.67</v>
      </c>
      <c r="H14" s="15"/>
      <c r="I14" s="15">
        <f>D14+E14+F14+G14</f>
        <v>24899.320348152221</v>
      </c>
      <c r="J14" s="93">
        <f t="shared" si="2"/>
        <v>0.33271907921870936</v>
      </c>
    </row>
    <row r="15" spans="2:10" s="1" customFormat="1" ht="12" x14ac:dyDescent="0.2">
      <c r="B15" s="13" t="s">
        <v>8</v>
      </c>
      <c r="C15" s="14" t="s">
        <v>47</v>
      </c>
      <c r="D15" s="15">
        <f>'Simulação Padrão de Vencimento'!I8</f>
        <v>10032.723446134069</v>
      </c>
      <c r="E15" s="15">
        <f t="shared" si="1"/>
        <v>10032.723446134069</v>
      </c>
      <c r="F15" s="15">
        <f>(D15+E15)*[1]Parâmetros_Gratificações!$B$12</f>
        <v>5317.343426451057</v>
      </c>
      <c r="G15" s="15">
        <f>[1]Parâmetros_Gratificações!$C$14</f>
        <v>785.67</v>
      </c>
      <c r="H15" s="15">
        <f>[1]Parâmetros_Gratificações!$C$21*[1]Parâmetros_Gratificações!$C$18</f>
        <v>1556.7720000000002</v>
      </c>
      <c r="I15" s="15">
        <f>D15+E15+F15+H15+G15</f>
        <v>27725.232318719194</v>
      </c>
      <c r="J15" s="93">
        <f t="shared" si="2"/>
        <v>0.14891448992929379</v>
      </c>
    </row>
    <row r="16" spans="2:10" s="1" customFormat="1" ht="12" customHeight="1" x14ac:dyDescent="0.2">
      <c r="B16" s="79" t="s">
        <v>49</v>
      </c>
      <c r="C16" s="79"/>
      <c r="D16" s="79"/>
      <c r="E16" s="79"/>
      <c r="F16" s="79"/>
      <c r="G16" s="79"/>
      <c r="H16" s="79"/>
      <c r="I16" s="79"/>
      <c r="J16" s="79"/>
    </row>
    <row r="17" spans="2:11" x14ac:dyDescent="0.2">
      <c r="B17" s="13" t="s">
        <v>39</v>
      </c>
      <c r="C17" s="14" t="s">
        <v>40</v>
      </c>
      <c r="D17" s="15">
        <f>'Venc corrigido mês-7.23 a 12.26'!$I$11</f>
        <v>7479.7802487012968</v>
      </c>
      <c r="E17" s="15">
        <f>D17*1</f>
        <v>7479.7802487012968</v>
      </c>
      <c r="F17" s="15">
        <f>(D17+E17)*[1]Parâmetros_Gratificações!$B$12</f>
        <v>3964.2835318116877</v>
      </c>
      <c r="G17" s="15">
        <f>[1]Parâmetros_Gratificações!$C$14</f>
        <v>785.67</v>
      </c>
      <c r="H17" s="15"/>
      <c r="I17" s="15">
        <f>D17+E17+F17+G17</f>
        <v>19709.514029214279</v>
      </c>
      <c r="J17" s="93">
        <f>D17/D11-1</f>
        <v>2.1285430936283989E-2</v>
      </c>
      <c r="K17" s="97"/>
    </row>
    <row r="18" spans="2:11" x14ac:dyDescent="0.2">
      <c r="B18" s="13" t="s">
        <v>41</v>
      </c>
      <c r="C18" s="14" t="s">
        <v>42</v>
      </c>
      <c r="D18" s="15">
        <f>'Venc corrigido mês-7.23 a 12.26'!$J$11</f>
        <v>8299.4821183448803</v>
      </c>
      <c r="E18" s="15">
        <f t="shared" ref="E18:E21" si="3">D18*1</f>
        <v>8299.4821183448803</v>
      </c>
      <c r="F18" s="15">
        <f>(D18+E18)*[1]Parâmetros_Gratificações!$B$12</f>
        <v>4398.725522722787</v>
      </c>
      <c r="G18" s="15">
        <f>[1]Parâmetros_Gratificações!$C$14</f>
        <v>785.67</v>
      </c>
      <c r="H18" s="15"/>
      <c r="I18" s="15">
        <f>D18+E18+F18+G18</f>
        <v>21783.359759412546</v>
      </c>
      <c r="J18" s="93">
        <f t="shared" ref="J18:J21" si="4">D18/D12-1</f>
        <v>2.1285430936283767E-2</v>
      </c>
    </row>
    <row r="19" spans="2:11" x14ac:dyDescent="0.2">
      <c r="B19" s="13" t="s">
        <v>43</v>
      </c>
      <c r="C19" s="14" t="s">
        <v>44</v>
      </c>
      <c r="D19" s="15">
        <f>'Venc corrigido mês-7.23 a 12.26'!$K$11</f>
        <v>9221.6469510951119</v>
      </c>
      <c r="E19" s="15">
        <f t="shared" si="3"/>
        <v>9221.6469510951119</v>
      </c>
      <c r="F19" s="15">
        <f>(D19+E19)*[1]Parâmetros_Gratificações!$B$12</f>
        <v>4887.4728840804091</v>
      </c>
      <c r="G19" s="15">
        <f>[1]Parâmetros_Gratificações!$C$14</f>
        <v>785.67</v>
      </c>
      <c r="H19" s="15"/>
      <c r="I19" s="15">
        <f>D19+E19+F19+G19</f>
        <v>24116.436786270631</v>
      </c>
      <c r="J19" s="93">
        <f t="shared" si="4"/>
        <v>2.1285430936283989E-2</v>
      </c>
    </row>
    <row r="20" spans="2:11" x14ac:dyDescent="0.2">
      <c r="B20" s="13" t="s">
        <v>45</v>
      </c>
      <c r="C20" s="14" t="s">
        <v>46</v>
      </c>
      <c r="D20" s="15">
        <f>'Venc corrigido mês-7.23 a 12.26'!$L$11</f>
        <v>9733.9603902211511</v>
      </c>
      <c r="E20" s="15">
        <f t="shared" si="3"/>
        <v>9733.9603902211511</v>
      </c>
      <c r="F20" s="15">
        <f>(D20+E20)*[1]Parâmetros_Gratificações!$B$12</f>
        <v>5158.9990068172101</v>
      </c>
      <c r="G20" s="15">
        <f>[1]Parâmetros_Gratificações!$C$14</f>
        <v>785.67</v>
      </c>
      <c r="H20" s="15"/>
      <c r="I20" s="15">
        <f>D20+E20+F20+G20</f>
        <v>25412.589787259509</v>
      </c>
      <c r="J20" s="93">
        <f t="shared" si="4"/>
        <v>2.1285430936283767E-2</v>
      </c>
    </row>
    <row r="21" spans="2:11" x14ac:dyDescent="0.2">
      <c r="B21" s="13" t="s">
        <v>8</v>
      </c>
      <c r="C21" s="14" t="s">
        <v>47</v>
      </c>
      <c r="D21" s="15">
        <f>'Venc corrigido mês-7.23 a 12.26'!$M$11</f>
        <v>10246.274288149591</v>
      </c>
      <c r="E21" s="15">
        <f t="shared" si="3"/>
        <v>10246.274288149591</v>
      </c>
      <c r="F21" s="15">
        <f>(D21+E21)*[1]Parâmetros_Gratificações!$B$12</f>
        <v>5430.525372719283</v>
      </c>
      <c r="G21" s="15">
        <f>[1]Parâmetros_Gratificações!$C$14</f>
        <v>785.67</v>
      </c>
      <c r="H21" s="15">
        <f>[1]Parâmetros_Gratificações!$C$21*[1]Parâmetros_Gratificações!$C$18</f>
        <v>1556.7720000000002</v>
      </c>
      <c r="I21" s="15">
        <f>D21+E21+F21+H21+G21</f>
        <v>28265.515949018463</v>
      </c>
      <c r="J21" s="93">
        <f t="shared" si="4"/>
        <v>2.1285430936283767E-2</v>
      </c>
    </row>
    <row r="22" spans="2:11" s="1" customFormat="1" ht="12" customHeight="1" x14ac:dyDescent="0.2">
      <c r="B22" s="79" t="s">
        <v>50</v>
      </c>
      <c r="C22" s="79"/>
      <c r="D22" s="79"/>
      <c r="E22" s="79"/>
      <c r="F22" s="79"/>
      <c r="G22" s="79"/>
      <c r="H22" s="79"/>
      <c r="I22" s="79"/>
      <c r="J22" s="79"/>
    </row>
    <row r="23" spans="2:11" x14ac:dyDescent="0.2">
      <c r="B23" s="13" t="s">
        <v>39</v>
      </c>
      <c r="C23" s="14" t="s">
        <v>40</v>
      </c>
      <c r="D23" s="15">
        <f>'Venc corrigido mês-7.23 a 12.26'!$I$22</f>
        <v>7731.1693755601282</v>
      </c>
      <c r="E23" s="15">
        <f>D23*1</f>
        <v>7731.1693755601282</v>
      </c>
      <c r="F23" s="15">
        <f>(D23+E23)*[1]Parâmetros_Gratificações!$B$12</f>
        <v>4097.5197690468685</v>
      </c>
      <c r="G23" s="15">
        <f>[1]Parâmetros_Gratificações!$C$14</f>
        <v>785.67</v>
      </c>
      <c r="H23" s="15"/>
      <c r="I23" s="15">
        <f>D23+E23+F23+G23</f>
        <v>20345.528520167121</v>
      </c>
      <c r="J23" s="93">
        <f>D23/D17-1</f>
        <v>3.3609159427174351E-2</v>
      </c>
      <c r="K23" s="97"/>
    </row>
    <row r="24" spans="2:11" x14ac:dyDescent="0.2">
      <c r="B24" s="13" t="s">
        <v>41</v>
      </c>
      <c r="C24" s="14" t="s">
        <v>42</v>
      </c>
      <c r="D24" s="15">
        <f>'Venc corrigido mês-7.23 a 12.26'!$J$22</f>
        <v>8578.4207360233177</v>
      </c>
      <c r="E24" s="15">
        <f t="shared" ref="E24:E27" si="5">D24*1</f>
        <v>8578.4207360233177</v>
      </c>
      <c r="F24" s="15">
        <f>(D24+E24)*[1]Parâmetros_Gratificações!$B$12</f>
        <v>4546.5629900923586</v>
      </c>
      <c r="G24" s="15">
        <f>[1]Parâmetros_Gratificações!$C$14</f>
        <v>785.67</v>
      </c>
      <c r="H24" s="15"/>
      <c r="I24" s="15">
        <f>D24+E24+F24+G24</f>
        <v>22489.074462138993</v>
      </c>
      <c r="J24" s="93">
        <f t="shared" ref="J24:J27" si="6">D24/D18-1</f>
        <v>3.3609159427174573E-2</v>
      </c>
    </row>
    <row r="25" spans="2:11" x14ac:dyDescent="0.2">
      <c r="B25" s="13" t="s">
        <v>43</v>
      </c>
      <c r="C25" s="14" t="s">
        <v>44</v>
      </c>
      <c r="D25" s="15">
        <f>'Venc corrigido mês-7.23 a 12.26'!$K$22</f>
        <v>9531.5787536555854</v>
      </c>
      <c r="E25" s="15">
        <f t="shared" si="5"/>
        <v>9531.5787536555854</v>
      </c>
      <c r="F25" s="15">
        <f>(D25+E25)*[1]Parâmetros_Gratificações!$B$12</f>
        <v>5051.7367394374605</v>
      </c>
      <c r="G25" s="15">
        <f>[1]Parâmetros_Gratificações!$C$14</f>
        <v>785.67</v>
      </c>
      <c r="H25" s="15"/>
      <c r="I25" s="15">
        <f>D25+E25+F25+G25</f>
        <v>24900.564246748629</v>
      </c>
      <c r="J25" s="93">
        <f t="shared" si="6"/>
        <v>3.3609159427174573E-2</v>
      </c>
    </row>
    <row r="26" spans="2:11" x14ac:dyDescent="0.2">
      <c r="B26" s="13" t="s">
        <v>45</v>
      </c>
      <c r="C26" s="14" t="s">
        <v>46</v>
      </c>
      <c r="D26" s="15">
        <f>'Venc corrigido mês-7.23 a 12.26'!$L$22</f>
        <v>10061.110616833894</v>
      </c>
      <c r="E26" s="15">
        <f t="shared" si="5"/>
        <v>10061.110616833894</v>
      </c>
      <c r="F26" s="15">
        <f>(D26+E26)*[1]Parâmetros_Gratificações!$B$12</f>
        <v>5332.3886269219638</v>
      </c>
      <c r="G26" s="15">
        <f>[1]Parâmetros_Gratificações!$C$14</f>
        <v>785.67</v>
      </c>
      <c r="H26" s="15"/>
      <c r="I26" s="15">
        <f>D26+E26+F26+G26</f>
        <v>26240.279860589748</v>
      </c>
      <c r="J26" s="93">
        <f t="shared" si="6"/>
        <v>3.3609159427174351E-2</v>
      </c>
    </row>
    <row r="27" spans="2:11" x14ac:dyDescent="0.2">
      <c r="B27" s="13" t="s">
        <v>8</v>
      </c>
      <c r="C27" s="14" t="s">
        <v>47</v>
      </c>
      <c r="D27" s="15">
        <f>'Venc corrigido mês-7.23 a 12.26'!$M$22</f>
        <v>10590.642954234567</v>
      </c>
      <c r="E27" s="15">
        <f t="shared" si="5"/>
        <v>10590.642954234567</v>
      </c>
      <c r="F27" s="15">
        <f>(D27+E27)*[1]Parâmetros_Gratificações!$B$12</f>
        <v>5613.0407657443211</v>
      </c>
      <c r="G27" s="15">
        <f>[1]Parâmetros_Gratificações!$C$14</f>
        <v>785.67</v>
      </c>
      <c r="H27" s="15">
        <f>[1]Parâmetros_Gratificações!$C$21*[1]Parâmetros_Gratificações!$C$18</f>
        <v>1556.7720000000002</v>
      </c>
      <c r="I27" s="15">
        <f>D27+E27+F27+H27+G27</f>
        <v>29136.768674213454</v>
      </c>
      <c r="J27" s="93">
        <f t="shared" si="6"/>
        <v>3.3609159427174351E-2</v>
      </c>
    </row>
    <row r="28" spans="2:11" s="1" customFormat="1" ht="12" customHeight="1" x14ac:dyDescent="0.2">
      <c r="B28" s="79" t="s">
        <v>51</v>
      </c>
      <c r="C28" s="79"/>
      <c r="D28" s="79"/>
      <c r="E28" s="79"/>
      <c r="F28" s="79"/>
      <c r="G28" s="79"/>
      <c r="H28" s="79"/>
      <c r="I28" s="79"/>
      <c r="J28" s="79"/>
    </row>
    <row r="29" spans="2:11" x14ac:dyDescent="0.2">
      <c r="B29" s="13" t="s">
        <v>39</v>
      </c>
      <c r="C29" s="14" t="s">
        <v>40</v>
      </c>
      <c r="D29" s="15">
        <f>'Venc corrigido mês-7.23 a 12.26'!$I$34</f>
        <v>8007.7212616858396</v>
      </c>
      <c r="E29" s="15">
        <f>D29*1</f>
        <v>8007.7212616858396</v>
      </c>
      <c r="F29" s="15">
        <f>(D29+E29)*[1]Parâmetros_Gratificações!$B$12</f>
        <v>4244.0922686934955</v>
      </c>
      <c r="G29" s="15">
        <f>[1]Parâmetros_Gratificações!$C$14</f>
        <v>785.67</v>
      </c>
      <c r="H29" s="15"/>
      <c r="I29" s="15">
        <f>D29+E29+F29+G29</f>
        <v>21045.204792065175</v>
      </c>
      <c r="J29" s="93">
        <f>D29/D23-1</f>
        <v>3.5771029283092837E-2</v>
      </c>
      <c r="K29" s="97"/>
    </row>
    <row r="30" spans="2:11" x14ac:dyDescent="0.2">
      <c r="B30" s="13" t="s">
        <v>41</v>
      </c>
      <c r="C30" s="14" t="s">
        <v>42</v>
      </c>
      <c r="D30" s="15">
        <f>'Venc corrigido mês-7.23 a 12.26'!$J$34</f>
        <v>8885.2796753742969</v>
      </c>
      <c r="E30" s="15">
        <f t="shared" ref="E30:E33" si="7">D30*1</f>
        <v>8885.2796753742969</v>
      </c>
      <c r="F30" s="15">
        <f>(D30+E30)*[1]Parâmetros_Gratificações!$B$12</f>
        <v>4709.1982279483773</v>
      </c>
      <c r="G30" s="15">
        <f>[1]Parâmetros_Gratificações!$C$14</f>
        <v>785.67</v>
      </c>
      <c r="H30" s="15"/>
      <c r="I30" s="15">
        <f>D30+E30+F30+G30</f>
        <v>23265.42757869697</v>
      </c>
      <c r="J30" s="93">
        <f t="shared" ref="J30:J33" si="8">D30/D24-1</f>
        <v>3.5771029283092615E-2</v>
      </c>
    </row>
    <row r="31" spans="2:11" x14ac:dyDescent="0.2">
      <c r="B31" s="13" t="s">
        <v>43</v>
      </c>
      <c r="C31" s="14" t="s">
        <v>44</v>
      </c>
      <c r="D31" s="15">
        <f>'Venc corrigido mês-7.23 a 12.26'!$K$34</f>
        <v>9872.5331363667046</v>
      </c>
      <c r="E31" s="15">
        <f t="shared" si="7"/>
        <v>9872.5331363667046</v>
      </c>
      <c r="F31" s="15">
        <f>(D31+E31)*[1]Parâmetros_Gratificações!$B$12</f>
        <v>5232.4425622743538</v>
      </c>
      <c r="G31" s="15">
        <f>[1]Parâmetros_Gratificações!$C$14</f>
        <v>785.67</v>
      </c>
      <c r="H31" s="15"/>
      <c r="I31" s="15">
        <f>D31+E31+F31+G31</f>
        <v>25763.178835007762</v>
      </c>
      <c r="J31" s="93">
        <f t="shared" si="8"/>
        <v>3.5771029283092837E-2</v>
      </c>
    </row>
    <row r="32" spans="2:11" x14ac:dyDescent="0.2">
      <c r="B32" s="13" t="s">
        <v>45</v>
      </c>
      <c r="C32" s="14" t="s">
        <v>46</v>
      </c>
      <c r="D32" s="15">
        <f>'Venc corrigido mês-7.23 a 12.26'!$L$34</f>
        <v>10421.006899329095</v>
      </c>
      <c r="E32" s="15">
        <f t="shared" si="7"/>
        <v>10421.006899329095</v>
      </c>
      <c r="F32" s="15">
        <f>(D32+E32)*[1]Parâmetros_Gratificações!$B$12</f>
        <v>5523.1336566444206</v>
      </c>
      <c r="G32" s="15">
        <f>[1]Parâmetros_Gratificações!$C$14</f>
        <v>785.67</v>
      </c>
      <c r="H32" s="15"/>
      <c r="I32" s="15">
        <f>D32+E32+F32+G32</f>
        <v>27150.817455302611</v>
      </c>
      <c r="J32" s="93">
        <f t="shared" si="8"/>
        <v>3.5771029283092837E-2</v>
      </c>
    </row>
    <row r="33" spans="2:11" x14ac:dyDescent="0.2">
      <c r="B33" s="13" t="s">
        <v>8</v>
      </c>
      <c r="C33" s="14" t="s">
        <v>47</v>
      </c>
      <c r="D33" s="15">
        <f>'Venc corrigido mês-7.23 a 12.26'!$M$34</f>
        <v>10969.481153477271</v>
      </c>
      <c r="E33" s="15">
        <f t="shared" si="7"/>
        <v>10969.481153477271</v>
      </c>
      <c r="F33" s="15">
        <f>(D33+E33)*[1]Parâmetros_Gratificações!$B$12</f>
        <v>5813.825011342954</v>
      </c>
      <c r="G33" s="15">
        <f>[1]Parâmetros_Gratificações!$C$14</f>
        <v>785.67</v>
      </c>
      <c r="H33" s="15">
        <f>[1]Parâmetros_Gratificações!$C$21*[1]Parâmetros_Gratificações!$C$18</f>
        <v>1556.7720000000002</v>
      </c>
      <c r="I33" s="15">
        <f>D33+E33+F33+H33+G33</f>
        <v>30095.229318297494</v>
      </c>
      <c r="J33" s="93">
        <f t="shared" si="8"/>
        <v>3.5771029283092615E-2</v>
      </c>
    </row>
    <row r="34" spans="2:11" s="1" customFormat="1" ht="12" customHeight="1" x14ac:dyDescent="0.2">
      <c r="B34" s="79" t="s">
        <v>52</v>
      </c>
      <c r="C34" s="79"/>
      <c r="D34" s="79"/>
      <c r="E34" s="79"/>
      <c r="F34" s="79"/>
      <c r="G34" s="79"/>
      <c r="H34" s="79"/>
      <c r="I34" s="79"/>
      <c r="J34" s="79"/>
    </row>
    <row r="35" spans="2:11" x14ac:dyDescent="0.2">
      <c r="B35" s="13" t="s">
        <v>39</v>
      </c>
      <c r="C35" s="14" t="s">
        <v>40</v>
      </c>
      <c r="D35" s="15">
        <f>'Venc corrigido mês-7.23 a 12.26'!$I$46</f>
        <v>8292.5063177427292</v>
      </c>
      <c r="E35" s="15">
        <f>D35*1</f>
        <v>8292.5063177427292</v>
      </c>
      <c r="F35" s="15">
        <f>(D35+E35)*[1]Parâmetros_Gratificações!$B$12</f>
        <v>4395.0283484036463</v>
      </c>
      <c r="G35" s="15">
        <f>[1]Parâmetros_Gratificações!$C$14</f>
        <v>785.67</v>
      </c>
      <c r="H35" s="15"/>
      <c r="I35" s="15">
        <f>D35+E35+F35+G35</f>
        <v>21765.710983889105</v>
      </c>
      <c r="J35" s="93">
        <f>D35/D29-1</f>
        <v>3.5563807324249241E-2</v>
      </c>
      <c r="K35" s="97"/>
    </row>
    <row r="36" spans="2:11" x14ac:dyDescent="0.2">
      <c r="B36" s="13" t="s">
        <v>41</v>
      </c>
      <c r="C36" s="14" t="s">
        <v>42</v>
      </c>
      <c r="D36" s="15">
        <f>'Venc corrigido mês-7.23 a 12.26'!$J$46</f>
        <v>9201.2740497713785</v>
      </c>
      <c r="E36" s="15">
        <f t="shared" ref="E36:E39" si="9">D36*1</f>
        <v>9201.2740497713785</v>
      </c>
      <c r="F36" s="15">
        <f>(D36+E36)*[1]Parâmetros_Gratificações!$B$12</f>
        <v>4876.6752463788307</v>
      </c>
      <c r="G36" s="15">
        <f>[1]Parâmetros_Gratificações!$C$14</f>
        <v>785.67</v>
      </c>
      <c r="H36" s="15"/>
      <c r="I36" s="15">
        <f>D36+E36+F36+G36</f>
        <v>24064.893345921584</v>
      </c>
      <c r="J36" s="93">
        <f t="shared" ref="J36:J39" si="10">D36/D30-1</f>
        <v>3.5563807324249463E-2</v>
      </c>
    </row>
    <row r="37" spans="2:11" x14ac:dyDescent="0.2">
      <c r="B37" s="13" t="s">
        <v>43</v>
      </c>
      <c r="C37" s="14" t="s">
        <v>44</v>
      </c>
      <c r="D37" s="15">
        <f>'Venc corrigido mês-7.23 a 12.26'!$K$46</f>
        <v>10223.638002630714</v>
      </c>
      <c r="E37" s="15">
        <f t="shared" si="9"/>
        <v>10223.638002630714</v>
      </c>
      <c r="F37" s="15">
        <f>(D37+E37)*[1]Parâmetros_Gratificações!$B$12</f>
        <v>5418.5281413942785</v>
      </c>
      <c r="G37" s="15">
        <f>[1]Parâmetros_Gratificações!$C$14</f>
        <v>785.67</v>
      </c>
      <c r="H37" s="15"/>
      <c r="I37" s="15">
        <f>D37+E37+F37+G37</f>
        <v>26651.474146655706</v>
      </c>
      <c r="J37" s="93">
        <f t="shared" si="10"/>
        <v>3.5563807324249019E-2</v>
      </c>
    </row>
    <row r="38" spans="2:11" x14ac:dyDescent="0.2">
      <c r="B38" s="13" t="s">
        <v>45</v>
      </c>
      <c r="C38" s="14" t="s">
        <v>46</v>
      </c>
      <c r="D38" s="15">
        <f>'Venc corrigido mês-7.23 a 12.26'!$L$46</f>
        <v>10791.617580821508</v>
      </c>
      <c r="E38" s="15">
        <f t="shared" si="9"/>
        <v>10791.617580821508</v>
      </c>
      <c r="F38" s="15">
        <f>(D38+E38)*[1]Parâmetros_Gratificações!$B$12</f>
        <v>5719.5573178353998</v>
      </c>
      <c r="G38" s="15">
        <f>[1]Parâmetros_Gratificações!$C$14</f>
        <v>785.67</v>
      </c>
      <c r="H38" s="15"/>
      <c r="I38" s="15">
        <f>D38+E38+F38+G38</f>
        <v>28088.462479478414</v>
      </c>
      <c r="J38" s="93">
        <f t="shared" si="10"/>
        <v>3.5563807324249463E-2</v>
      </c>
    </row>
    <row r="39" spans="2:11" x14ac:dyDescent="0.2">
      <c r="B39" s="13" t="s">
        <v>8</v>
      </c>
      <c r="C39" s="14" t="s">
        <v>47</v>
      </c>
      <c r="D39" s="15">
        <f>'Venc corrigido mês-7.23 a 12.26'!$M$46</f>
        <v>11359.597667666516</v>
      </c>
      <c r="E39" s="15">
        <f t="shared" si="9"/>
        <v>11359.597667666516</v>
      </c>
      <c r="F39" s="15">
        <f>(D39+E39)*[1]Parâmetros_Gratificações!$B$12</f>
        <v>6020.5867638632535</v>
      </c>
      <c r="G39" s="15">
        <f>[1]Parâmetros_Gratificações!$C$14</f>
        <v>785.67</v>
      </c>
      <c r="H39" s="15">
        <f>[1]Parâmetros_Gratificações!$C$21*[1]Parâmetros_Gratificações!$C$18</f>
        <v>1556.7720000000002</v>
      </c>
      <c r="I39" s="15">
        <f>D39+E39+F39+H39+G39</f>
        <v>31082.224099196286</v>
      </c>
      <c r="J39" s="93">
        <f t="shared" si="10"/>
        <v>3.5563807324248797E-2</v>
      </c>
    </row>
  </sheetData>
  <mergeCells count="7">
    <mergeCell ref="B4:J4"/>
    <mergeCell ref="B10:J10"/>
    <mergeCell ref="B16:J16"/>
    <mergeCell ref="B22:J22"/>
    <mergeCell ref="B28:J28"/>
    <mergeCell ref="B34:J34"/>
    <mergeCell ref="J5:J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04121-A307-4036-9690-85CFE344EB63}">
  <dimension ref="B2:N20"/>
  <sheetViews>
    <sheetView showGridLines="0" topLeftCell="A6" zoomScale="110" zoomScaleNormal="110" workbookViewId="0">
      <selection activeCell="J10" sqref="J10"/>
    </sheetView>
  </sheetViews>
  <sheetFormatPr defaultRowHeight="12.75" x14ac:dyDescent="0.2"/>
  <cols>
    <col min="1" max="1" width="2" style="11" customWidth="1"/>
    <col min="2" max="2" width="32.140625" style="11" customWidth="1"/>
    <col min="3" max="3" width="6.85546875" style="11" bestFit="1" customWidth="1"/>
    <col min="4" max="4" width="14.42578125" style="11" customWidth="1"/>
    <col min="5" max="5" width="9.85546875" style="11" customWidth="1"/>
    <col min="6" max="6" width="9.7109375" style="11" bestFit="1" customWidth="1"/>
    <col min="7" max="7" width="12.28515625" style="11" customWidth="1"/>
    <col min="8" max="8" width="12.7109375" style="11" customWidth="1"/>
    <col min="9" max="10" width="13.42578125" style="11" customWidth="1"/>
    <col min="11" max="11" width="2" style="11" customWidth="1"/>
    <col min="12" max="12" width="9.42578125" style="11" hidden="1" customWidth="1"/>
    <col min="13" max="16384" width="9.140625" style="11"/>
  </cols>
  <sheetData>
    <row r="2" spans="2:14" s="16" customFormat="1" ht="60" x14ac:dyDescent="0.2">
      <c r="B2" s="12" t="s">
        <v>53</v>
      </c>
      <c r="C2" s="12" t="s">
        <v>31</v>
      </c>
      <c r="D2" s="12" t="s">
        <v>54</v>
      </c>
      <c r="E2" s="17" t="s">
        <v>55</v>
      </c>
      <c r="F2" s="17" t="s">
        <v>56</v>
      </c>
      <c r="G2" s="12" t="s">
        <v>57</v>
      </c>
      <c r="H2" s="12" t="s">
        <v>58</v>
      </c>
      <c r="I2" s="18" t="s">
        <v>59</v>
      </c>
      <c r="J2" s="12" t="s">
        <v>60</v>
      </c>
    </row>
    <row r="3" spans="2:14" s="1" customFormat="1" ht="12.75" customHeight="1" x14ac:dyDescent="0.2">
      <c r="B3" s="79" t="s">
        <v>61</v>
      </c>
      <c r="C3" s="79"/>
      <c r="D3" s="79"/>
      <c r="E3" s="79"/>
      <c r="F3" s="79"/>
      <c r="G3" s="79"/>
      <c r="H3" s="79"/>
      <c r="I3" s="78"/>
      <c r="J3" s="19"/>
    </row>
    <row r="4" spans="2:14" s="1" customFormat="1" ht="12" x14ac:dyDescent="0.2">
      <c r="B4" s="13" t="s">
        <v>39</v>
      </c>
      <c r="C4" s="14" t="s">
        <v>40</v>
      </c>
      <c r="D4" s="20">
        <v>5943.87</v>
      </c>
      <c r="E4" s="21">
        <v>100.26257088030574</v>
      </c>
      <c r="F4" s="80">
        <v>123.54103523786019</v>
      </c>
      <c r="G4" s="22">
        <f>E4/$F$4-1</f>
        <v>-0.18842698147004489</v>
      </c>
      <c r="H4" s="23">
        <f>G4+1</f>
        <v>0.81157301852995511</v>
      </c>
      <c r="I4" s="24">
        <f>D4/H4</f>
        <v>7323.8881336474742</v>
      </c>
      <c r="J4" s="22">
        <f>I4/D4-1</f>
        <v>0.23217501958277587</v>
      </c>
    </row>
    <row r="5" spans="2:14" s="1" customFormat="1" ht="12" x14ac:dyDescent="0.2">
      <c r="B5" s="13" t="s">
        <v>41</v>
      </c>
      <c r="C5" s="14" t="s">
        <v>42</v>
      </c>
      <c r="D5" s="20">
        <v>6333.25</v>
      </c>
      <c r="E5" s="21">
        <v>96.279540978807091</v>
      </c>
      <c r="F5" s="81"/>
      <c r="G5" s="22">
        <f t="shared" ref="G5:G8" si="0">E5/$F$4-1</f>
        <v>-0.22066752319636207</v>
      </c>
      <c r="H5" s="23">
        <f t="shared" ref="H5:H8" si="1">G5+1</f>
        <v>0.77933247680363793</v>
      </c>
      <c r="I5" s="24">
        <f t="shared" ref="I5:I8" si="2">D5/H5</f>
        <v>8126.5059374597804</v>
      </c>
      <c r="J5" s="22">
        <f t="shared" ref="J5:J8" si="3">I5/D5-1</f>
        <v>0.28314939998575461</v>
      </c>
    </row>
    <row r="6" spans="2:14" s="1" customFormat="1" ht="12" x14ac:dyDescent="0.2">
      <c r="B6" s="13" t="s">
        <v>43</v>
      </c>
      <c r="C6" s="14" t="s">
        <v>44</v>
      </c>
      <c r="D6" s="20">
        <v>6751.61</v>
      </c>
      <c r="E6" s="21">
        <v>92.375590857571922</v>
      </c>
      <c r="F6" s="81"/>
      <c r="G6" s="22">
        <f t="shared" si="0"/>
        <v>-0.25226795550388392</v>
      </c>
      <c r="H6" s="23">
        <f t="shared" si="1"/>
        <v>0.74773204449611608</v>
      </c>
      <c r="I6" s="24">
        <f t="shared" si="2"/>
        <v>9029.4511913686874</v>
      </c>
      <c r="J6" s="22">
        <f t="shared" si="3"/>
        <v>0.33737748349929686</v>
      </c>
    </row>
    <row r="7" spans="2:14" s="1" customFormat="1" ht="12" x14ac:dyDescent="0.2">
      <c r="B7" s="13" t="s">
        <v>45</v>
      </c>
      <c r="C7" s="14" t="s">
        <v>46</v>
      </c>
      <c r="D7" s="20">
        <v>7151.61</v>
      </c>
      <c r="E7" s="21">
        <v>92.698481746269181</v>
      </c>
      <c r="F7" s="81"/>
      <c r="G7" s="22">
        <f t="shared" si="0"/>
        <v>-0.24965432281029687</v>
      </c>
      <c r="H7" s="23">
        <f t="shared" si="1"/>
        <v>0.75034567718970313</v>
      </c>
      <c r="I7" s="24">
        <f t="shared" si="2"/>
        <v>9531.0870941313133</v>
      </c>
      <c r="J7" s="22">
        <f t="shared" si="3"/>
        <v>0.33271907921870936</v>
      </c>
    </row>
    <row r="8" spans="2:14" s="1" customFormat="1" ht="12" x14ac:dyDescent="0.2">
      <c r="B8" s="13" t="s">
        <v>8</v>
      </c>
      <c r="C8" s="14" t="s">
        <v>47</v>
      </c>
      <c r="D8" s="20">
        <v>8732.35</v>
      </c>
      <c r="E8" s="21">
        <v>107.52848564514416</v>
      </c>
      <c r="F8" s="82"/>
      <c r="G8" s="22">
        <f t="shared" si="0"/>
        <v>-0.12961320553843669</v>
      </c>
      <c r="H8" s="23">
        <f t="shared" si="1"/>
        <v>0.87038679446156331</v>
      </c>
      <c r="I8" s="24">
        <f t="shared" si="2"/>
        <v>10032.723446134069</v>
      </c>
      <c r="J8" s="22">
        <f t="shared" si="3"/>
        <v>0.14891448992929379</v>
      </c>
    </row>
    <row r="9" spans="2:14" ht="12.75" customHeight="1" x14ac:dyDescent="0.2">
      <c r="B9" s="79" t="s">
        <v>62</v>
      </c>
      <c r="C9" s="79"/>
      <c r="D9" s="79"/>
      <c r="E9" s="79"/>
      <c r="F9" s="79"/>
      <c r="G9" s="79"/>
      <c r="H9" s="79"/>
      <c r="I9" s="78"/>
      <c r="J9" s="19"/>
    </row>
    <row r="10" spans="2:14" s="1" customFormat="1" ht="12" x14ac:dyDescent="0.2">
      <c r="B10" s="13" t="s">
        <v>39</v>
      </c>
      <c r="C10" s="14" t="s">
        <v>40</v>
      </c>
      <c r="D10" s="20">
        <f>I4</f>
        <v>7323.8881336474742</v>
      </c>
      <c r="E10" s="21">
        <v>1</v>
      </c>
      <c r="F10" s="80">
        <f>'Venc corrigido mês-7.23 a 12.26'!$H$5</f>
        <v>1.132254639396419</v>
      </c>
      <c r="G10" s="22">
        <f>E10/$F$10-1</f>
        <v>-0.11680644511814164</v>
      </c>
      <c r="H10" s="23">
        <f t="shared" ref="H10:H14" si="4">G10+1</f>
        <v>0.88319355488185836</v>
      </c>
      <c r="I10" s="24">
        <f>D10/H10</f>
        <v>8292.5063177427328</v>
      </c>
      <c r="J10" s="22">
        <f t="shared" ref="J10:J14" si="5">I10/D10-1</f>
        <v>0.13225463939641902</v>
      </c>
      <c r="L10" s="25">
        <f>'Venc corrigido mês-7.23 a 12.26'!$I$46-I10</f>
        <v>0</v>
      </c>
      <c r="N10" s="26"/>
    </row>
    <row r="11" spans="2:14" s="1" customFormat="1" ht="12" x14ac:dyDescent="0.2">
      <c r="B11" s="13" t="s">
        <v>41</v>
      </c>
      <c r="C11" s="14" t="s">
        <v>42</v>
      </c>
      <c r="D11" s="20">
        <f t="shared" ref="D11:D14" si="6">I5</f>
        <v>8126.5059374597804</v>
      </c>
      <c r="E11" s="21">
        <v>1</v>
      </c>
      <c r="F11" s="81"/>
      <c r="G11" s="22">
        <f t="shared" ref="G11:G14" si="7">E11/$F$10-1</f>
        <v>-0.11680644511814164</v>
      </c>
      <c r="H11" s="23">
        <f t="shared" si="4"/>
        <v>0.88319355488185836</v>
      </c>
      <c r="I11" s="24">
        <f t="shared" ref="I11:I14" si="8">D11/H11</f>
        <v>9201.2740497713821</v>
      </c>
      <c r="J11" s="22">
        <f t="shared" si="5"/>
        <v>0.13225463939641902</v>
      </c>
      <c r="L11" s="25">
        <f>'Venc corrigido mês-7.23 a 12.26'!$J$46-I11</f>
        <v>0</v>
      </c>
    </row>
    <row r="12" spans="2:14" s="1" customFormat="1" ht="12" x14ac:dyDescent="0.2">
      <c r="B12" s="13" t="s">
        <v>43</v>
      </c>
      <c r="C12" s="14" t="s">
        <v>44</v>
      </c>
      <c r="D12" s="20">
        <f t="shared" si="6"/>
        <v>9029.4511913686874</v>
      </c>
      <c r="E12" s="21">
        <v>1</v>
      </c>
      <c r="F12" s="81"/>
      <c r="G12" s="22">
        <f t="shared" si="7"/>
        <v>-0.11680644511814164</v>
      </c>
      <c r="H12" s="23">
        <f t="shared" si="4"/>
        <v>0.88319355488185836</v>
      </c>
      <c r="I12" s="24">
        <f t="shared" si="8"/>
        <v>10223.63800263072</v>
      </c>
      <c r="J12" s="22">
        <f t="shared" si="5"/>
        <v>0.13225463939641902</v>
      </c>
      <c r="L12" s="25">
        <f>'Venc corrigido mês-7.23 a 12.26'!$K$46-I12</f>
        <v>0</v>
      </c>
    </row>
    <row r="13" spans="2:14" s="1" customFormat="1" ht="12" x14ac:dyDescent="0.2">
      <c r="B13" s="13" t="s">
        <v>45</v>
      </c>
      <c r="C13" s="14" t="s">
        <v>46</v>
      </c>
      <c r="D13" s="20">
        <f t="shared" si="6"/>
        <v>9531.0870941313133</v>
      </c>
      <c r="E13" s="21">
        <v>1</v>
      </c>
      <c r="F13" s="81"/>
      <c r="G13" s="22">
        <f t="shared" si="7"/>
        <v>-0.11680644511814164</v>
      </c>
      <c r="H13" s="23">
        <f t="shared" si="4"/>
        <v>0.88319355488185836</v>
      </c>
      <c r="I13" s="24">
        <f t="shared" si="8"/>
        <v>10791.617580821514</v>
      </c>
      <c r="J13" s="22">
        <f t="shared" si="5"/>
        <v>0.13225463939641902</v>
      </c>
      <c r="L13" s="25">
        <f>'Venc corrigido mês-7.23 a 12.26'!$L$46-I13</f>
        <v>0</v>
      </c>
    </row>
    <row r="14" spans="2:14" s="1" customFormat="1" ht="12" x14ac:dyDescent="0.2">
      <c r="B14" s="13" t="s">
        <v>8</v>
      </c>
      <c r="C14" s="14" t="s">
        <v>47</v>
      </c>
      <c r="D14" s="20">
        <f t="shared" si="6"/>
        <v>10032.723446134069</v>
      </c>
      <c r="E14" s="21">
        <v>1</v>
      </c>
      <c r="F14" s="82"/>
      <c r="G14" s="22">
        <f t="shared" si="7"/>
        <v>-0.11680644511814164</v>
      </c>
      <c r="H14" s="23">
        <f t="shared" si="4"/>
        <v>0.88319355488185836</v>
      </c>
      <c r="I14" s="24">
        <f t="shared" si="8"/>
        <v>11359.597667666529</v>
      </c>
      <c r="J14" s="22">
        <f t="shared" si="5"/>
        <v>0.13225463939641902</v>
      </c>
      <c r="L14" s="25">
        <f>'Venc corrigido mês-7.23 a 12.26'!$M$46-I14</f>
        <v>0</v>
      </c>
    </row>
    <row r="15" spans="2:14" ht="30" customHeight="1" x14ac:dyDescent="0.2">
      <c r="B15" s="79" t="s">
        <v>63</v>
      </c>
      <c r="C15" s="79"/>
      <c r="D15" s="79"/>
      <c r="E15" s="79"/>
      <c r="F15" s="79"/>
      <c r="G15" s="79"/>
      <c r="H15" s="79"/>
      <c r="I15" s="78"/>
      <c r="J15" s="19"/>
    </row>
    <row r="16" spans="2:14" x14ac:dyDescent="0.2">
      <c r="B16" s="13" t="s">
        <v>39</v>
      </c>
      <c r="C16" s="14" t="s">
        <v>40</v>
      </c>
      <c r="D16" s="20">
        <v>5943.87</v>
      </c>
      <c r="E16" s="21">
        <v>100.26257088030574</v>
      </c>
      <c r="F16" s="80">
        <f>'[1]IPCA mensal 1980 a 1.2024'!I567</f>
        <v>139.87991030390359</v>
      </c>
      <c r="G16" s="22">
        <f>E16/$F$16-1</f>
        <v>-0.28322394071832813</v>
      </c>
      <c r="H16" s="23">
        <f t="shared" ref="H16:H20" si="9">G16+1</f>
        <v>0.71677605928167187</v>
      </c>
      <c r="I16" s="24">
        <f>D16/H16</f>
        <v>8292.5063177427273</v>
      </c>
      <c r="J16" s="22">
        <f t="shared" ref="J16:J20" si="10">I16/D16-1</f>
        <v>0.39513588247097053</v>
      </c>
      <c r="L16" s="25">
        <f>I16-I10</f>
        <v>0</v>
      </c>
      <c r="M16" s="27"/>
    </row>
    <row r="17" spans="2:12" x14ac:dyDescent="0.2">
      <c r="B17" s="13" t="s">
        <v>41</v>
      </c>
      <c r="C17" s="14" t="s">
        <v>42</v>
      </c>
      <c r="D17" s="20">
        <v>6333.25</v>
      </c>
      <c r="E17" s="21">
        <v>96.279540978807091</v>
      </c>
      <c r="F17" s="81"/>
      <c r="G17" s="22">
        <f t="shared" ref="G17:G20" si="11">E17/$F$16-1</f>
        <v>-0.31169857937691103</v>
      </c>
      <c r="H17" s="23">
        <f t="shared" si="9"/>
        <v>0.68830142062308897</v>
      </c>
      <c r="I17" s="24">
        <f t="shared" ref="I17:I20" si="12">D17/H17</f>
        <v>9201.2740497713748</v>
      </c>
      <c r="J17" s="22">
        <f t="shared" si="10"/>
        <v>0.4528518611726009</v>
      </c>
      <c r="L17" s="25">
        <f>I17-I11</f>
        <v>0</v>
      </c>
    </row>
    <row r="18" spans="2:12" x14ac:dyDescent="0.2">
      <c r="B18" s="13" t="s">
        <v>43</v>
      </c>
      <c r="C18" s="14" t="s">
        <v>44</v>
      </c>
      <c r="D18" s="20">
        <v>6751.61</v>
      </c>
      <c r="E18" s="21">
        <v>92.375590857571922</v>
      </c>
      <c r="F18" s="81"/>
      <c r="G18" s="22">
        <f t="shared" si="11"/>
        <v>-0.33960787752239485</v>
      </c>
      <c r="H18" s="23">
        <f t="shared" si="9"/>
        <v>0.66039212247760515</v>
      </c>
      <c r="I18" s="24">
        <f t="shared" si="12"/>
        <v>10223.638002630712</v>
      </c>
      <c r="J18" s="22">
        <f t="shared" si="10"/>
        <v>0.5142518603163857</v>
      </c>
      <c r="L18" s="25">
        <f>I18-I12</f>
        <v>0</v>
      </c>
    </row>
    <row r="19" spans="2:12" x14ac:dyDescent="0.2">
      <c r="B19" s="13" t="s">
        <v>45</v>
      </c>
      <c r="C19" s="14" t="s">
        <v>46</v>
      </c>
      <c r="D19" s="20">
        <v>7151.61</v>
      </c>
      <c r="E19" s="21">
        <v>92.698481746269181</v>
      </c>
      <c r="F19" s="81"/>
      <c r="G19" s="22">
        <f t="shared" si="11"/>
        <v>-0.33729953397259027</v>
      </c>
      <c r="H19" s="23">
        <f t="shared" si="9"/>
        <v>0.66270046602740973</v>
      </c>
      <c r="I19" s="24">
        <f t="shared" si="12"/>
        <v>10791.617580821505</v>
      </c>
      <c r="J19" s="22">
        <f t="shared" si="10"/>
        <v>0.50897736045750608</v>
      </c>
      <c r="L19" s="25">
        <f>I19-I13</f>
        <v>0</v>
      </c>
    </row>
    <row r="20" spans="2:12" x14ac:dyDescent="0.2">
      <c r="B20" s="13" t="s">
        <v>8</v>
      </c>
      <c r="C20" s="14" t="s">
        <v>47</v>
      </c>
      <c r="D20" s="20">
        <v>8732.35</v>
      </c>
      <c r="E20" s="21">
        <v>107.52848564514416</v>
      </c>
      <c r="F20" s="82"/>
      <c r="G20" s="22">
        <f t="shared" si="11"/>
        <v>-0.23127999287726597</v>
      </c>
      <c r="H20" s="23">
        <f t="shared" si="9"/>
        <v>0.76872000712273403</v>
      </c>
      <c r="I20" s="24">
        <f t="shared" si="12"/>
        <v>11359.59766766652</v>
      </c>
      <c r="J20" s="22">
        <f t="shared" si="10"/>
        <v>0.30086376149221228</v>
      </c>
      <c r="L20" s="25">
        <f>I20-I14</f>
        <v>0</v>
      </c>
    </row>
  </sheetData>
  <mergeCells count="6">
    <mergeCell ref="F16:F20"/>
    <mergeCell ref="B3:I3"/>
    <mergeCell ref="F4:F8"/>
    <mergeCell ref="B9:I9"/>
    <mergeCell ref="F10:F14"/>
    <mergeCell ref="B15:I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1313A-D39B-43B9-A028-757E08CB6A7C}">
  <dimension ref="B1:X47"/>
  <sheetViews>
    <sheetView showGridLines="0" workbookViewId="0">
      <selection activeCell="D18" sqref="D18"/>
    </sheetView>
  </sheetViews>
  <sheetFormatPr defaultRowHeight="12.75" x14ac:dyDescent="0.2"/>
  <cols>
    <col min="1" max="1" width="2.7109375" style="11" customWidth="1"/>
    <col min="2" max="2" width="8.28515625" style="11" customWidth="1"/>
    <col min="3" max="3" width="10.140625" style="11" bestFit="1" customWidth="1"/>
    <col min="4" max="4" width="11.42578125" style="11" bestFit="1" customWidth="1"/>
    <col min="5" max="5" width="11.42578125" style="11" customWidth="1"/>
    <col min="6" max="6" width="10" style="11" customWidth="1"/>
    <col min="7" max="7" width="14.85546875" style="11" hidden="1" customWidth="1"/>
    <col min="8" max="13" width="14.42578125" style="11" customWidth="1"/>
    <col min="14" max="14" width="9.140625" style="11"/>
    <col min="15" max="15" width="9.140625" style="29" customWidth="1"/>
    <col min="16" max="21" width="9.140625" style="11"/>
    <col min="22" max="22" width="9.7109375" style="11" customWidth="1"/>
    <col min="23" max="16384" width="9.140625" style="11"/>
  </cols>
  <sheetData>
    <row r="1" spans="2:24" ht="13.5" thickBot="1" x14ac:dyDescent="0.25">
      <c r="I1" s="28">
        <f>SUM(E5:E46)+1</f>
        <v>1.1244240000000001</v>
      </c>
      <c r="J1" s="11">
        <f>I1*I4</f>
        <v>8235.1555907884285</v>
      </c>
    </row>
    <row r="2" spans="2:24" s="31" customFormat="1" ht="15" customHeight="1" x14ac:dyDescent="0.25">
      <c r="B2" s="30"/>
      <c r="C2" s="30"/>
      <c r="D2" s="30"/>
      <c r="E2" s="30"/>
      <c r="F2" s="30"/>
      <c r="G2" s="30"/>
      <c r="H2" s="30"/>
      <c r="I2" s="83" t="s">
        <v>64</v>
      </c>
      <c r="J2" s="83"/>
      <c r="K2" s="83"/>
      <c r="L2" s="83"/>
      <c r="M2" s="83"/>
      <c r="O2" s="84" t="s">
        <v>65</v>
      </c>
      <c r="P2" s="85"/>
      <c r="Q2" s="85"/>
      <c r="R2" s="85"/>
      <c r="S2" s="85"/>
      <c r="T2" s="85"/>
      <c r="U2" s="85"/>
      <c r="V2" s="85"/>
      <c r="W2" s="85"/>
      <c r="X2" s="86"/>
    </row>
    <row r="3" spans="2:24" ht="51" x14ac:dyDescent="0.2">
      <c r="B3" s="32" t="s">
        <v>66</v>
      </c>
      <c r="C3" s="32" t="s">
        <v>67</v>
      </c>
      <c r="D3" s="32" t="s">
        <v>68</v>
      </c>
      <c r="E3" s="32" t="s">
        <v>69</v>
      </c>
      <c r="F3" s="32" t="s">
        <v>70</v>
      </c>
      <c r="G3" s="32" t="s">
        <v>71</v>
      </c>
      <c r="H3" s="32" t="s">
        <v>72</v>
      </c>
      <c r="I3" s="32" t="s">
        <v>4</v>
      </c>
      <c r="J3" s="32" t="s">
        <v>5</v>
      </c>
      <c r="K3" s="32" t="s">
        <v>6</v>
      </c>
      <c r="L3" s="32" t="s">
        <v>7</v>
      </c>
      <c r="M3" s="32" t="s">
        <v>8</v>
      </c>
      <c r="O3" s="87"/>
      <c r="P3" s="88"/>
      <c r="Q3" s="88"/>
      <c r="R3" s="88"/>
      <c r="S3" s="88"/>
      <c r="T3" s="88"/>
      <c r="U3" s="88"/>
      <c r="V3" s="88"/>
      <c r="W3" s="88"/>
      <c r="X3" s="89"/>
    </row>
    <row r="4" spans="2:24" x14ac:dyDescent="0.2">
      <c r="B4" s="33">
        <v>45078</v>
      </c>
      <c r="C4" s="34">
        <f t="shared" ref="C4:C11" si="0">EOMONTH(B4,0)</f>
        <v>45107</v>
      </c>
      <c r="D4" s="35"/>
      <c r="E4" s="36"/>
      <c r="F4" s="36"/>
      <c r="G4" s="37">
        <v>1</v>
      </c>
      <c r="H4" s="37">
        <v>0</v>
      </c>
      <c r="I4" s="38">
        <f>'Simulação Padrão de Vencimento'!$I$4</f>
        <v>7323.8881336474742</v>
      </c>
      <c r="J4" s="38">
        <f>'Simulação Padrão de Vencimento'!$I$5</f>
        <v>8126.5059374597804</v>
      </c>
      <c r="K4" s="38">
        <f>'Simulação Padrão de Vencimento'!$I$6</f>
        <v>9029.4511913686874</v>
      </c>
      <c r="L4" s="38">
        <f>'Simulação Padrão de Vencimento'!$I$7</f>
        <v>9531.0870941313133</v>
      </c>
      <c r="M4" s="38">
        <f>'Simulação Padrão de Vencimento'!$I$8</f>
        <v>10032.723446134069</v>
      </c>
      <c r="O4" s="87"/>
      <c r="P4" s="88"/>
      <c r="Q4" s="88"/>
      <c r="R4" s="88"/>
      <c r="S4" s="88"/>
      <c r="T4" s="88"/>
      <c r="U4" s="88"/>
      <c r="V4" s="88"/>
      <c r="W4" s="88"/>
      <c r="X4" s="89"/>
    </row>
    <row r="5" spans="2:24" x14ac:dyDescent="0.2">
      <c r="B5" s="39">
        <v>45108</v>
      </c>
      <c r="C5" s="40">
        <f t="shared" si="0"/>
        <v>45138</v>
      </c>
      <c r="D5" s="41">
        <f>'[1]IPCA mensal 1980 a 1.2024'!E526</f>
        <v>0.12</v>
      </c>
      <c r="E5" s="42">
        <f t="shared" ref="E5:E11" si="1">D5/100</f>
        <v>1.1999999999999999E-3</v>
      </c>
      <c r="F5" s="42">
        <f t="shared" ref="F5:F11" si="2">1+E5</f>
        <v>1.0012000000000001</v>
      </c>
      <c r="G5" s="43">
        <f>G4*F5</f>
        <v>1.0012000000000001</v>
      </c>
      <c r="H5" s="43">
        <f t="shared" ref="H5:H47" si="3">$G$46/G4</f>
        <v>1.132254639396419</v>
      </c>
      <c r="I5" s="44">
        <f t="shared" ref="I5:I47" si="4">I4*F5</f>
        <v>7332.6767994078518</v>
      </c>
      <c r="J5" s="44">
        <f t="shared" ref="J5:J47" si="5">J4*F5</f>
        <v>8136.2577445847328</v>
      </c>
      <c r="K5" s="44">
        <f t="shared" ref="K5:K47" si="6">K4*F5</f>
        <v>9040.2865327983309</v>
      </c>
      <c r="L5" s="44">
        <f t="shared" ref="L5:L47" si="7">L4*F5</f>
        <v>9542.5243986442711</v>
      </c>
      <c r="M5" s="44">
        <f t="shared" ref="M5:M47" si="8">M4*F5</f>
        <v>10044.762714269431</v>
      </c>
      <c r="O5" s="87"/>
      <c r="P5" s="88"/>
      <c r="Q5" s="88"/>
      <c r="R5" s="88"/>
      <c r="S5" s="88"/>
      <c r="T5" s="88"/>
      <c r="U5" s="88"/>
      <c r="V5" s="88"/>
      <c r="W5" s="88"/>
      <c r="X5" s="89"/>
    </row>
    <row r="6" spans="2:24" x14ac:dyDescent="0.2">
      <c r="B6" s="39">
        <v>45139</v>
      </c>
      <c r="C6" s="40">
        <f t="shared" si="0"/>
        <v>45169</v>
      </c>
      <c r="D6" s="41">
        <f>'[1]IPCA mensal 1980 a 1.2024'!E527</f>
        <v>0.23</v>
      </c>
      <c r="E6" s="42">
        <f t="shared" si="1"/>
        <v>2.3E-3</v>
      </c>
      <c r="F6" s="42">
        <f t="shared" si="2"/>
        <v>1.0023</v>
      </c>
      <c r="G6" s="43">
        <f t="shared" ref="G6:G46" si="9">G5*F6</f>
        <v>1.0035027600000002</v>
      </c>
      <c r="H6" s="43">
        <f t="shared" si="3"/>
        <v>1.1308975623216329</v>
      </c>
      <c r="I6" s="44">
        <f t="shared" si="4"/>
        <v>7349.5419560464898</v>
      </c>
      <c r="J6" s="44">
        <f t="shared" si="5"/>
        <v>8154.9711373972777</v>
      </c>
      <c r="K6" s="44">
        <f t="shared" si="6"/>
        <v>9061.0791918237665</v>
      </c>
      <c r="L6" s="44">
        <f t="shared" si="7"/>
        <v>9564.4722047611522</v>
      </c>
      <c r="M6" s="44">
        <f t="shared" si="8"/>
        <v>10067.86566851225</v>
      </c>
      <c r="O6" s="87"/>
      <c r="P6" s="88"/>
      <c r="Q6" s="88"/>
      <c r="R6" s="88"/>
      <c r="S6" s="88"/>
      <c r="T6" s="88"/>
      <c r="U6" s="88"/>
      <c r="V6" s="88"/>
      <c r="W6" s="88"/>
      <c r="X6" s="89"/>
    </row>
    <row r="7" spans="2:24" x14ac:dyDescent="0.2">
      <c r="B7" s="39">
        <v>45170</v>
      </c>
      <c r="C7" s="40">
        <f t="shared" si="0"/>
        <v>45199</v>
      </c>
      <c r="D7" s="41">
        <f>'[1]IPCA mensal 1980 a 1.2024'!E528</f>
        <v>0.26</v>
      </c>
      <c r="E7" s="42">
        <f t="shared" si="1"/>
        <v>2.5999999999999999E-3</v>
      </c>
      <c r="F7" s="42">
        <f t="shared" si="2"/>
        <v>1.0025999999999999</v>
      </c>
      <c r="G7" s="43">
        <f t="shared" si="9"/>
        <v>1.0061118671760001</v>
      </c>
      <c r="H7" s="43">
        <f t="shared" si="3"/>
        <v>1.1283024666483417</v>
      </c>
      <c r="I7" s="44">
        <f t="shared" si="4"/>
        <v>7368.6507651322099</v>
      </c>
      <c r="J7" s="44">
        <f t="shared" si="5"/>
        <v>8176.1740623545102</v>
      </c>
      <c r="K7" s="44">
        <f t="shared" si="6"/>
        <v>9084.6379977225079</v>
      </c>
      <c r="L7" s="44">
        <f t="shared" si="7"/>
        <v>9589.3398324935297</v>
      </c>
      <c r="M7" s="44">
        <f t="shared" si="8"/>
        <v>10094.04211925038</v>
      </c>
      <c r="O7" s="87"/>
      <c r="P7" s="88"/>
      <c r="Q7" s="88"/>
      <c r="R7" s="88"/>
      <c r="S7" s="88"/>
      <c r="T7" s="88"/>
      <c r="U7" s="88"/>
      <c r="V7" s="88"/>
      <c r="W7" s="88"/>
      <c r="X7" s="89"/>
    </row>
    <row r="8" spans="2:24" x14ac:dyDescent="0.2">
      <c r="B8" s="39">
        <v>45200</v>
      </c>
      <c r="C8" s="40">
        <f t="shared" si="0"/>
        <v>45230</v>
      </c>
      <c r="D8" s="41">
        <f>'[1]IPCA mensal 1980 a 1.2024'!E529</f>
        <v>0.24</v>
      </c>
      <c r="E8" s="42">
        <f t="shared" si="1"/>
        <v>2.3999999999999998E-3</v>
      </c>
      <c r="F8" s="42">
        <f t="shared" si="2"/>
        <v>1.0024</v>
      </c>
      <c r="G8" s="43">
        <f t="shared" si="9"/>
        <v>1.0085265356572224</v>
      </c>
      <c r="H8" s="43">
        <f t="shared" si="3"/>
        <v>1.1253764877801136</v>
      </c>
      <c r="I8" s="44">
        <f t="shared" si="4"/>
        <v>7386.3355269685271</v>
      </c>
      <c r="J8" s="44">
        <f t="shared" si="5"/>
        <v>8195.7968801041607</v>
      </c>
      <c r="K8" s="44">
        <f t="shared" si="6"/>
        <v>9106.4411289170421</v>
      </c>
      <c r="L8" s="44">
        <f t="shared" si="7"/>
        <v>9612.354248091513</v>
      </c>
      <c r="M8" s="44">
        <f t="shared" si="8"/>
        <v>10118.267820336581</v>
      </c>
      <c r="O8" s="87"/>
      <c r="P8" s="88"/>
      <c r="Q8" s="88"/>
      <c r="R8" s="88"/>
      <c r="S8" s="88"/>
      <c r="T8" s="88"/>
      <c r="U8" s="88"/>
      <c r="V8" s="88"/>
      <c r="W8" s="88"/>
      <c r="X8" s="89"/>
    </row>
    <row r="9" spans="2:24" x14ac:dyDescent="0.2">
      <c r="B9" s="39">
        <v>45231</v>
      </c>
      <c r="C9" s="40">
        <f t="shared" si="0"/>
        <v>45260</v>
      </c>
      <c r="D9" s="41">
        <f>'[1]IPCA mensal 1980 a 1.2024'!E530</f>
        <v>0.28000000000000003</v>
      </c>
      <c r="E9" s="42">
        <f t="shared" si="1"/>
        <v>2.8000000000000004E-3</v>
      </c>
      <c r="F9" s="42">
        <f t="shared" si="2"/>
        <v>1.0027999999999999</v>
      </c>
      <c r="G9" s="43">
        <f t="shared" si="9"/>
        <v>1.0113504099570625</v>
      </c>
      <c r="H9" s="43">
        <f t="shared" si="3"/>
        <v>1.1226820508580542</v>
      </c>
      <c r="I9" s="44">
        <f t="shared" si="4"/>
        <v>7407.0172664440388</v>
      </c>
      <c r="J9" s="44">
        <f t="shared" si="5"/>
        <v>8218.745111368451</v>
      </c>
      <c r="K9" s="44">
        <f t="shared" si="6"/>
        <v>9131.9391640780086</v>
      </c>
      <c r="L9" s="44">
        <f t="shared" si="7"/>
        <v>9639.268839986169</v>
      </c>
      <c r="M9" s="44">
        <f t="shared" si="8"/>
        <v>10146.598970233523</v>
      </c>
      <c r="O9" s="87"/>
      <c r="P9" s="88"/>
      <c r="Q9" s="88"/>
      <c r="R9" s="88"/>
      <c r="S9" s="88"/>
      <c r="T9" s="88"/>
      <c r="U9" s="88"/>
      <c r="V9" s="88"/>
      <c r="W9" s="88"/>
      <c r="X9" s="89"/>
    </row>
    <row r="10" spans="2:24" ht="13.5" thickBot="1" x14ac:dyDescent="0.25">
      <c r="B10" s="39">
        <v>45261</v>
      </c>
      <c r="C10" s="40">
        <f t="shared" si="0"/>
        <v>45291</v>
      </c>
      <c r="D10" s="41">
        <f>'[1]IPCA mensal 1980 a 1.2024'!E531</f>
        <v>0.56000000000000005</v>
      </c>
      <c r="E10" s="42">
        <f t="shared" si="1"/>
        <v>5.6000000000000008E-3</v>
      </c>
      <c r="F10" s="42">
        <f t="shared" si="2"/>
        <v>1.0056</v>
      </c>
      <c r="G10" s="43">
        <f t="shared" si="9"/>
        <v>1.0170139722528222</v>
      </c>
      <c r="H10" s="43">
        <f t="shared" si="3"/>
        <v>1.1195473183666278</v>
      </c>
      <c r="I10" s="44">
        <f t="shared" si="4"/>
        <v>7448.4965631361256</v>
      </c>
      <c r="J10" s="44">
        <f t="shared" si="5"/>
        <v>8264.7700839921145</v>
      </c>
      <c r="K10" s="44">
        <f t="shared" si="6"/>
        <v>9183.0780233968453</v>
      </c>
      <c r="L10" s="44">
        <f t="shared" si="7"/>
        <v>9693.2487454900929</v>
      </c>
      <c r="M10" s="44">
        <f t="shared" si="8"/>
        <v>10203.419924466831</v>
      </c>
      <c r="O10" s="90"/>
      <c r="P10" s="91"/>
      <c r="Q10" s="91"/>
      <c r="R10" s="91"/>
      <c r="S10" s="91"/>
      <c r="T10" s="91"/>
      <c r="U10" s="91"/>
      <c r="V10" s="91"/>
      <c r="W10" s="91"/>
      <c r="X10" s="92"/>
    </row>
    <row r="11" spans="2:24" x14ac:dyDescent="0.2">
      <c r="B11" s="39">
        <v>45292</v>
      </c>
      <c r="C11" s="40">
        <f t="shared" si="0"/>
        <v>45322</v>
      </c>
      <c r="D11" s="41">
        <f>'[1]IPCA mensal 1980 a 1.2024'!E532</f>
        <v>0.42</v>
      </c>
      <c r="E11" s="42">
        <f t="shared" si="1"/>
        <v>4.1999999999999997E-3</v>
      </c>
      <c r="F11" s="42">
        <f t="shared" si="2"/>
        <v>1.0042</v>
      </c>
      <c r="G11" s="43">
        <f t="shared" si="9"/>
        <v>1.021285430936284</v>
      </c>
      <c r="H11" s="43">
        <f t="shared" si="3"/>
        <v>1.1133127668721436</v>
      </c>
      <c r="I11" s="44">
        <f t="shared" si="4"/>
        <v>7479.7802487012968</v>
      </c>
      <c r="J11" s="44">
        <f t="shared" si="5"/>
        <v>8299.4821183448803</v>
      </c>
      <c r="K11" s="44">
        <f t="shared" si="6"/>
        <v>9221.6469510951119</v>
      </c>
      <c r="L11" s="44">
        <f t="shared" si="7"/>
        <v>9733.9603902211511</v>
      </c>
      <c r="M11" s="44">
        <f t="shared" si="8"/>
        <v>10246.274288149591</v>
      </c>
    </row>
    <row r="12" spans="2:24" ht="13.5" thickBot="1" x14ac:dyDescent="0.25">
      <c r="B12" s="39">
        <v>45323</v>
      </c>
      <c r="C12" s="40">
        <f>EOMONTH(B12,0)</f>
        <v>45351</v>
      </c>
      <c r="D12" s="45">
        <v>0.73</v>
      </c>
      <c r="E12" s="42">
        <f>D12/100</f>
        <v>7.3000000000000001E-3</v>
      </c>
      <c r="F12" s="42">
        <f>1+E12</f>
        <v>1.0073000000000001</v>
      </c>
      <c r="G12" s="43">
        <f t="shared" si="9"/>
        <v>1.0287408145821189</v>
      </c>
      <c r="H12" s="43">
        <f t="shared" si="3"/>
        <v>1.1086564099503522</v>
      </c>
      <c r="I12" s="44">
        <f t="shared" si="4"/>
        <v>7534.382644516817</v>
      </c>
      <c r="J12" s="44">
        <f t="shared" si="5"/>
        <v>8360.0683378087979</v>
      </c>
      <c r="K12" s="44">
        <f t="shared" si="6"/>
        <v>9288.9649738381067</v>
      </c>
      <c r="L12" s="44">
        <f t="shared" si="7"/>
        <v>9805.0183010697656</v>
      </c>
      <c r="M12" s="44">
        <f t="shared" si="8"/>
        <v>10321.072090453083</v>
      </c>
    </row>
    <row r="13" spans="2:24" x14ac:dyDescent="0.2">
      <c r="B13" s="39">
        <v>45352</v>
      </c>
      <c r="C13" s="40">
        <f t="shared" ref="C13:C46" si="10">EOMONTH(B13,0)</f>
        <v>45382</v>
      </c>
      <c r="D13" s="45">
        <v>0.24</v>
      </c>
      <c r="E13" s="42">
        <f t="shared" ref="E13:E46" si="11">D13/100</f>
        <v>2.3999999999999998E-3</v>
      </c>
      <c r="F13" s="42">
        <f t="shared" ref="F13:F46" si="12">1+E13</f>
        <v>1.0024</v>
      </c>
      <c r="G13" s="43">
        <f t="shared" si="9"/>
        <v>1.031209792537116</v>
      </c>
      <c r="H13" s="43">
        <f t="shared" si="3"/>
        <v>1.1006218702971828</v>
      </c>
      <c r="I13" s="44">
        <f t="shared" si="4"/>
        <v>7552.4651628636566</v>
      </c>
      <c r="J13" s="44">
        <f t="shared" si="5"/>
        <v>8380.1325018195384</v>
      </c>
      <c r="K13" s="44">
        <f t="shared" si="6"/>
        <v>9311.2584897753186</v>
      </c>
      <c r="L13" s="44">
        <f t="shared" si="7"/>
        <v>9828.5503449923326</v>
      </c>
      <c r="M13" s="44">
        <f t="shared" si="8"/>
        <v>10345.84266347017</v>
      </c>
      <c r="O13" s="46" t="s">
        <v>73</v>
      </c>
      <c r="P13" s="47"/>
      <c r="Q13" s="48"/>
      <c r="S13" s="49" t="s">
        <v>74</v>
      </c>
      <c r="T13" s="47"/>
      <c r="U13" s="47"/>
      <c r="V13" s="48"/>
    </row>
    <row r="14" spans="2:24" x14ac:dyDescent="0.2">
      <c r="B14" s="39">
        <v>45383</v>
      </c>
      <c r="C14" s="40">
        <f t="shared" si="10"/>
        <v>45412</v>
      </c>
      <c r="D14" s="45">
        <v>0.36</v>
      </c>
      <c r="E14" s="42">
        <f t="shared" si="11"/>
        <v>3.5999999999999999E-3</v>
      </c>
      <c r="F14" s="42">
        <f t="shared" si="12"/>
        <v>1.0036</v>
      </c>
      <c r="G14" s="43">
        <f t="shared" si="9"/>
        <v>1.0349221477902497</v>
      </c>
      <c r="H14" s="43">
        <f t="shared" si="3"/>
        <v>1.0979867022118743</v>
      </c>
      <c r="I14" s="44">
        <f t="shared" si="4"/>
        <v>7579.6540374499664</v>
      </c>
      <c r="J14" s="44">
        <f t="shared" si="5"/>
        <v>8410.3009788260897</v>
      </c>
      <c r="K14" s="44">
        <f t="shared" si="6"/>
        <v>9344.7790203385102</v>
      </c>
      <c r="L14" s="44">
        <f t="shared" si="7"/>
        <v>9863.9331262343057</v>
      </c>
      <c r="M14" s="44">
        <f t="shared" si="8"/>
        <v>10383.087697058663</v>
      </c>
      <c r="O14" s="50">
        <v>2024</v>
      </c>
      <c r="P14" s="51"/>
      <c r="Q14" s="52">
        <v>3.8134000000000001</v>
      </c>
      <c r="R14" s="53"/>
      <c r="S14" s="54"/>
      <c r="T14" s="55"/>
      <c r="U14" s="56" t="s">
        <v>75</v>
      </c>
      <c r="V14" s="57" t="s">
        <v>76</v>
      </c>
    </row>
    <row r="15" spans="2:24" ht="13.5" thickBot="1" x14ac:dyDescent="0.25">
      <c r="B15" s="39">
        <v>45413</v>
      </c>
      <c r="C15" s="40">
        <f t="shared" si="10"/>
        <v>45443</v>
      </c>
      <c r="D15" s="45">
        <v>0.22</v>
      </c>
      <c r="E15" s="42">
        <f t="shared" si="11"/>
        <v>2.2000000000000001E-3</v>
      </c>
      <c r="F15" s="42">
        <f t="shared" si="12"/>
        <v>1.0022</v>
      </c>
      <c r="G15" s="43">
        <f t="shared" si="9"/>
        <v>1.0371989765153882</v>
      </c>
      <c r="H15" s="43">
        <f t="shared" si="3"/>
        <v>1.0940481289476625</v>
      </c>
      <c r="I15" s="44">
        <f t="shared" si="4"/>
        <v>7596.3292763323561</v>
      </c>
      <c r="J15" s="44">
        <f t="shared" si="5"/>
        <v>8428.8036409795077</v>
      </c>
      <c r="K15" s="44">
        <f t="shared" si="6"/>
        <v>9365.3375341832543</v>
      </c>
      <c r="L15" s="44">
        <f t="shared" si="7"/>
        <v>9885.6337791120204</v>
      </c>
      <c r="M15" s="44">
        <f t="shared" si="8"/>
        <v>10405.930489992192</v>
      </c>
      <c r="O15" s="50">
        <v>2025</v>
      </c>
      <c r="P15" s="51"/>
      <c r="Q15" s="52">
        <v>3.5247000000000002</v>
      </c>
      <c r="S15" s="58" t="s">
        <v>77</v>
      </c>
      <c r="T15" s="59"/>
      <c r="U15" s="60">
        <f>$Q$16</f>
        <v>3.5</v>
      </c>
      <c r="V15" s="61">
        <f>U15/12</f>
        <v>0.29166666666666669</v>
      </c>
    </row>
    <row r="16" spans="2:24" ht="13.5" thickTop="1" x14ac:dyDescent="0.2">
      <c r="B16" s="39">
        <v>45444</v>
      </c>
      <c r="C16" s="40">
        <f t="shared" si="10"/>
        <v>45473</v>
      </c>
      <c r="D16" s="45">
        <v>0.2</v>
      </c>
      <c r="E16" s="42">
        <f t="shared" si="11"/>
        <v>2E-3</v>
      </c>
      <c r="F16" s="42">
        <f t="shared" si="12"/>
        <v>1.002</v>
      </c>
      <c r="G16" s="43">
        <f t="shared" si="9"/>
        <v>1.0392733744684191</v>
      </c>
      <c r="H16" s="43">
        <f t="shared" si="3"/>
        <v>1.0916465066330698</v>
      </c>
      <c r="I16" s="44">
        <f t="shared" si="4"/>
        <v>7611.5219348850205</v>
      </c>
      <c r="J16" s="44">
        <f t="shared" si="5"/>
        <v>8445.6612482614673</v>
      </c>
      <c r="K16" s="44">
        <f t="shared" si="6"/>
        <v>9384.0682092516217</v>
      </c>
      <c r="L16" s="44">
        <f t="shared" si="7"/>
        <v>9905.4050466702447</v>
      </c>
      <c r="M16" s="44">
        <f t="shared" si="8"/>
        <v>10426.742350972176</v>
      </c>
      <c r="O16" s="50">
        <v>2026</v>
      </c>
      <c r="P16" s="51"/>
      <c r="Q16" s="52">
        <v>3.5</v>
      </c>
      <c r="S16" s="62">
        <v>46023</v>
      </c>
      <c r="T16" s="63"/>
      <c r="U16" s="64"/>
      <c r="V16" s="65">
        <f>$D$35</f>
        <v>0.4</v>
      </c>
    </row>
    <row r="17" spans="2:22" x14ac:dyDescent="0.2">
      <c r="B17" s="39">
        <v>45474</v>
      </c>
      <c r="C17" s="40">
        <f t="shared" si="10"/>
        <v>45504</v>
      </c>
      <c r="D17" s="45">
        <v>0.18</v>
      </c>
      <c r="E17" s="42">
        <f t="shared" si="11"/>
        <v>1.8E-3</v>
      </c>
      <c r="F17" s="42">
        <f t="shared" si="12"/>
        <v>1.0018</v>
      </c>
      <c r="G17" s="43">
        <f t="shared" si="9"/>
        <v>1.0411440665424623</v>
      </c>
      <c r="H17" s="43">
        <f t="shared" si="3"/>
        <v>1.0894675714900897</v>
      </c>
      <c r="I17" s="44">
        <f t="shared" si="4"/>
        <v>7625.2226743678139</v>
      </c>
      <c r="J17" s="44">
        <f t="shared" si="5"/>
        <v>8460.8634385083387</v>
      </c>
      <c r="K17" s="44">
        <f t="shared" si="6"/>
        <v>9400.9595320282751</v>
      </c>
      <c r="L17" s="44">
        <f t="shared" si="7"/>
        <v>9923.234775754252</v>
      </c>
      <c r="M17" s="44">
        <f t="shared" si="8"/>
        <v>10445.510487203926</v>
      </c>
      <c r="O17" s="50">
        <v>2027</v>
      </c>
      <c r="P17" s="51"/>
      <c r="Q17" s="52">
        <v>3.5</v>
      </c>
      <c r="S17" s="62">
        <v>46054</v>
      </c>
      <c r="T17" s="63"/>
      <c r="U17" s="64"/>
      <c r="V17" s="65">
        <f>$D$36</f>
        <v>0.49149999999999999</v>
      </c>
    </row>
    <row r="18" spans="2:22" ht="13.5" thickBot="1" x14ac:dyDescent="0.25">
      <c r="B18" s="39">
        <v>45505</v>
      </c>
      <c r="C18" s="40">
        <f t="shared" si="10"/>
        <v>45535</v>
      </c>
      <c r="D18" s="45">
        <v>0.13159999999999999</v>
      </c>
      <c r="E18" s="42">
        <f t="shared" si="11"/>
        <v>1.3159999999999999E-3</v>
      </c>
      <c r="F18" s="42">
        <f t="shared" si="12"/>
        <v>1.0013160000000001</v>
      </c>
      <c r="G18" s="43">
        <f t="shared" si="9"/>
        <v>1.0425142121340323</v>
      </c>
      <c r="H18" s="43">
        <f t="shared" si="3"/>
        <v>1.0875100533939803</v>
      </c>
      <c r="I18" s="44">
        <f t="shared" si="4"/>
        <v>7635.257467407283</v>
      </c>
      <c r="J18" s="44">
        <f t="shared" si="5"/>
        <v>8471.9979347934168</v>
      </c>
      <c r="K18" s="44">
        <f t="shared" si="6"/>
        <v>9413.3311947724251</v>
      </c>
      <c r="L18" s="44">
        <f t="shared" si="7"/>
        <v>9936.2937527191461</v>
      </c>
      <c r="M18" s="44">
        <f t="shared" si="8"/>
        <v>10459.256779005087</v>
      </c>
      <c r="O18" s="66">
        <v>2028</v>
      </c>
      <c r="P18" s="67"/>
      <c r="Q18" s="68">
        <v>3.5</v>
      </c>
      <c r="S18" s="69" t="s">
        <v>78</v>
      </c>
      <c r="T18" s="70"/>
      <c r="U18" s="67">
        <f>U15-V17-V16</f>
        <v>2.6085000000000003</v>
      </c>
      <c r="V18" s="71">
        <f>(U18^1/10)</f>
        <v>0.26085000000000003</v>
      </c>
    </row>
    <row r="19" spans="2:22" x14ac:dyDescent="0.2">
      <c r="B19" s="39">
        <v>45536</v>
      </c>
      <c r="C19" s="40">
        <f t="shared" si="10"/>
        <v>45565</v>
      </c>
      <c r="D19" s="45">
        <v>0.21049999999999999</v>
      </c>
      <c r="E19" s="42">
        <f t="shared" si="11"/>
        <v>2.1050000000000001E-3</v>
      </c>
      <c r="F19" s="42">
        <f t="shared" si="12"/>
        <v>1.002105</v>
      </c>
      <c r="G19" s="43">
        <f t="shared" si="9"/>
        <v>1.0447087045505745</v>
      </c>
      <c r="H19" s="43">
        <f t="shared" si="3"/>
        <v>1.0860807710992137</v>
      </c>
      <c r="I19" s="44">
        <f t="shared" si="4"/>
        <v>7651.3296843761755</v>
      </c>
      <c r="J19" s="44">
        <f t="shared" si="5"/>
        <v>8489.8314904461567</v>
      </c>
      <c r="K19" s="44">
        <f t="shared" si="6"/>
        <v>9433.1462569374216</v>
      </c>
      <c r="L19" s="44">
        <f t="shared" si="7"/>
        <v>9957.2096510686206</v>
      </c>
      <c r="M19" s="44">
        <f t="shared" si="8"/>
        <v>10481.273514524893</v>
      </c>
    </row>
    <row r="20" spans="2:22" x14ac:dyDescent="0.2">
      <c r="B20" s="39">
        <v>45566</v>
      </c>
      <c r="C20" s="40">
        <f t="shared" si="10"/>
        <v>45596</v>
      </c>
      <c r="D20" s="45">
        <v>0.33</v>
      </c>
      <c r="E20" s="42">
        <f t="shared" si="11"/>
        <v>3.3E-3</v>
      </c>
      <c r="F20" s="42">
        <f t="shared" si="12"/>
        <v>1.0033000000000001</v>
      </c>
      <c r="G20" s="43">
        <f t="shared" si="9"/>
        <v>1.0481562432755915</v>
      </c>
      <c r="H20" s="43">
        <f t="shared" si="3"/>
        <v>1.0837993734181683</v>
      </c>
      <c r="I20" s="44">
        <f t="shared" si="4"/>
        <v>7676.5790723346172</v>
      </c>
      <c r="J20" s="44">
        <f t="shared" si="5"/>
        <v>8517.8479343646304</v>
      </c>
      <c r="K20" s="44">
        <f t="shared" si="6"/>
        <v>9464.2756395853157</v>
      </c>
      <c r="L20" s="44">
        <f t="shared" si="7"/>
        <v>9990.068442917147</v>
      </c>
      <c r="M20" s="44">
        <f t="shared" si="8"/>
        <v>10515.861717122827</v>
      </c>
      <c r="Q20" s="11">
        <v>2.11</v>
      </c>
    </row>
    <row r="21" spans="2:22" x14ac:dyDescent="0.2">
      <c r="B21" s="39">
        <v>45597</v>
      </c>
      <c r="C21" s="40">
        <f t="shared" si="10"/>
        <v>45626</v>
      </c>
      <c r="D21" s="45">
        <v>0.24</v>
      </c>
      <c r="E21" s="42">
        <f t="shared" si="11"/>
        <v>2.3999999999999998E-3</v>
      </c>
      <c r="F21" s="42">
        <f t="shared" si="12"/>
        <v>1.0024</v>
      </c>
      <c r="G21" s="43">
        <f t="shared" si="9"/>
        <v>1.050671818259453</v>
      </c>
      <c r="H21" s="43">
        <f t="shared" si="3"/>
        <v>1.0802345992406739</v>
      </c>
      <c r="I21" s="44">
        <f t="shared" si="4"/>
        <v>7695.0028621082201</v>
      </c>
      <c r="J21" s="44">
        <f t="shared" si="5"/>
        <v>8538.2907694071055</v>
      </c>
      <c r="K21" s="44">
        <f t="shared" si="6"/>
        <v>9486.9899011203197</v>
      </c>
      <c r="L21" s="44">
        <f t="shared" si="7"/>
        <v>10014.044607180147</v>
      </c>
      <c r="M21" s="44">
        <f t="shared" si="8"/>
        <v>10541.099785243921</v>
      </c>
      <c r="Q21" s="11">
        <v>3.3121</v>
      </c>
    </row>
    <row r="22" spans="2:22" x14ac:dyDescent="0.2">
      <c r="B22" s="39">
        <v>45627</v>
      </c>
      <c r="C22" s="40">
        <f t="shared" si="10"/>
        <v>45657</v>
      </c>
      <c r="D22" s="45">
        <v>0.47</v>
      </c>
      <c r="E22" s="42">
        <f t="shared" si="11"/>
        <v>4.6999999999999993E-3</v>
      </c>
      <c r="F22" s="42">
        <f t="shared" si="12"/>
        <v>1.0046999999999999</v>
      </c>
      <c r="G22" s="43">
        <f t="shared" si="9"/>
        <v>1.0556099758052724</v>
      </c>
      <c r="H22" s="43">
        <f t="shared" si="3"/>
        <v>1.0776482434563786</v>
      </c>
      <c r="I22" s="44">
        <f t="shared" si="4"/>
        <v>7731.1693755601282</v>
      </c>
      <c r="J22" s="44">
        <f t="shared" si="5"/>
        <v>8578.4207360233177</v>
      </c>
      <c r="K22" s="44">
        <f t="shared" si="6"/>
        <v>9531.5787536555854</v>
      </c>
      <c r="L22" s="44">
        <f t="shared" si="7"/>
        <v>10061.110616833894</v>
      </c>
      <c r="M22" s="44">
        <f t="shared" si="8"/>
        <v>10590.642954234567</v>
      </c>
      <c r="Q22" s="11">
        <v>3.52</v>
      </c>
    </row>
    <row r="23" spans="2:22" x14ac:dyDescent="0.2">
      <c r="B23" s="39">
        <v>45658</v>
      </c>
      <c r="C23" s="40">
        <f t="shared" si="10"/>
        <v>45688</v>
      </c>
      <c r="D23" s="45">
        <v>0.39</v>
      </c>
      <c r="E23" s="42">
        <f t="shared" si="11"/>
        <v>3.9000000000000003E-3</v>
      </c>
      <c r="F23" s="42">
        <f t="shared" si="12"/>
        <v>1.0039</v>
      </c>
      <c r="G23" s="43">
        <f t="shared" si="9"/>
        <v>1.0597268547109129</v>
      </c>
      <c r="H23" s="43">
        <f t="shared" si="3"/>
        <v>1.072606990600556</v>
      </c>
      <c r="I23" s="44">
        <f t="shared" si="4"/>
        <v>7761.3209361248128</v>
      </c>
      <c r="J23" s="44">
        <f t="shared" si="5"/>
        <v>8611.8765768938083</v>
      </c>
      <c r="K23" s="44">
        <f t="shared" si="6"/>
        <v>9568.7519107948428</v>
      </c>
      <c r="L23" s="44">
        <f t="shared" si="7"/>
        <v>10100.348948239545</v>
      </c>
      <c r="M23" s="44">
        <f t="shared" si="8"/>
        <v>10631.946461756082</v>
      </c>
      <c r="Q23" s="11">
        <v>3.5</v>
      </c>
    </row>
    <row r="24" spans="2:22" x14ac:dyDescent="0.2">
      <c r="B24" s="39">
        <v>45689</v>
      </c>
      <c r="C24" s="40">
        <f t="shared" si="10"/>
        <v>45716</v>
      </c>
      <c r="D24" s="45">
        <v>0.47</v>
      </c>
      <c r="E24" s="42">
        <f t="shared" si="11"/>
        <v>4.6999999999999993E-3</v>
      </c>
      <c r="F24" s="42">
        <f t="shared" si="12"/>
        <v>1.0046999999999999</v>
      </c>
      <c r="G24" s="43">
        <f t="shared" si="9"/>
        <v>1.064707570928054</v>
      </c>
      <c r="H24" s="43">
        <f t="shared" si="3"/>
        <v>1.0684400743107443</v>
      </c>
      <c r="I24" s="44">
        <f t="shared" si="4"/>
        <v>7797.7991445245989</v>
      </c>
      <c r="J24" s="44">
        <f t="shared" si="5"/>
        <v>8652.3523968052086</v>
      </c>
      <c r="K24" s="44">
        <f t="shared" si="6"/>
        <v>9613.7250447755778</v>
      </c>
      <c r="L24" s="44">
        <f t="shared" si="7"/>
        <v>10147.82058829627</v>
      </c>
      <c r="M24" s="44">
        <f t="shared" si="8"/>
        <v>10681.916610126334</v>
      </c>
    </row>
    <row r="25" spans="2:22" x14ac:dyDescent="0.2">
      <c r="B25" s="39">
        <v>45717</v>
      </c>
      <c r="C25" s="40">
        <f t="shared" si="10"/>
        <v>45747</v>
      </c>
      <c r="D25" s="45">
        <v>0.33</v>
      </c>
      <c r="E25" s="42">
        <f t="shared" si="11"/>
        <v>3.3E-3</v>
      </c>
      <c r="F25" s="42">
        <f t="shared" si="12"/>
        <v>1.0033000000000001</v>
      </c>
      <c r="G25" s="43">
        <f t="shared" si="9"/>
        <v>1.0682211059121167</v>
      </c>
      <c r="H25" s="43">
        <f t="shared" si="3"/>
        <v>1.0634418973929973</v>
      </c>
      <c r="I25" s="44">
        <f t="shared" si="4"/>
        <v>7823.5318817015304</v>
      </c>
      <c r="J25" s="44">
        <f t="shared" si="5"/>
        <v>8680.9051597146663</v>
      </c>
      <c r="K25" s="44">
        <f t="shared" si="6"/>
        <v>9645.4503374233373</v>
      </c>
      <c r="L25" s="44">
        <f t="shared" si="7"/>
        <v>10181.30839623765</v>
      </c>
      <c r="M25" s="44">
        <f t="shared" si="8"/>
        <v>10717.166934939753</v>
      </c>
    </row>
    <row r="26" spans="2:22" x14ac:dyDescent="0.2">
      <c r="B26" s="39">
        <v>45748</v>
      </c>
      <c r="C26" s="40">
        <f t="shared" si="10"/>
        <v>45777</v>
      </c>
      <c r="D26" s="45">
        <v>0.33</v>
      </c>
      <c r="E26" s="42">
        <f t="shared" si="11"/>
        <v>3.3E-3</v>
      </c>
      <c r="F26" s="42">
        <f t="shared" si="12"/>
        <v>1.0033000000000001</v>
      </c>
      <c r="G26" s="43">
        <f t="shared" si="9"/>
        <v>1.0717462355616267</v>
      </c>
      <c r="H26" s="43">
        <f t="shared" si="3"/>
        <v>1.0599440819226524</v>
      </c>
      <c r="I26" s="44">
        <f t="shared" si="4"/>
        <v>7849.3495369111461</v>
      </c>
      <c r="J26" s="44">
        <f t="shared" si="5"/>
        <v>8709.5521467417257</v>
      </c>
      <c r="K26" s="44">
        <f t="shared" si="6"/>
        <v>9677.2803235368356</v>
      </c>
      <c r="L26" s="44">
        <f t="shared" si="7"/>
        <v>10214.906713945235</v>
      </c>
      <c r="M26" s="44">
        <f t="shared" si="8"/>
        <v>10752.533585825055</v>
      </c>
    </row>
    <row r="27" spans="2:22" x14ac:dyDescent="0.2">
      <c r="B27" s="39">
        <v>45778</v>
      </c>
      <c r="C27" s="40">
        <f t="shared" si="10"/>
        <v>45808</v>
      </c>
      <c r="D27" s="45">
        <v>0.23</v>
      </c>
      <c r="E27" s="42">
        <f t="shared" si="11"/>
        <v>2.3E-3</v>
      </c>
      <c r="F27" s="42">
        <f t="shared" si="12"/>
        <v>1.0023</v>
      </c>
      <c r="G27" s="43">
        <f t="shared" si="9"/>
        <v>1.0742112519034184</v>
      </c>
      <c r="H27" s="43">
        <f t="shared" si="3"/>
        <v>1.0564577712774368</v>
      </c>
      <c r="I27" s="44">
        <f t="shared" si="4"/>
        <v>7867.4030408460412</v>
      </c>
      <c r="J27" s="44">
        <f t="shared" si="5"/>
        <v>8729.5841166792306</v>
      </c>
      <c r="K27" s="44">
        <f t="shared" si="6"/>
        <v>9699.53806828097</v>
      </c>
      <c r="L27" s="44">
        <f t="shared" si="7"/>
        <v>10238.400999387308</v>
      </c>
      <c r="M27" s="44">
        <f t="shared" si="8"/>
        <v>10777.264413072451</v>
      </c>
    </row>
    <row r="28" spans="2:22" x14ac:dyDescent="0.2">
      <c r="B28" s="39">
        <v>45809</v>
      </c>
      <c r="C28" s="40">
        <f t="shared" si="10"/>
        <v>45838</v>
      </c>
      <c r="D28" s="45">
        <v>0.2</v>
      </c>
      <c r="E28" s="42">
        <f t="shared" si="11"/>
        <v>2E-3</v>
      </c>
      <c r="F28" s="42">
        <f t="shared" si="12"/>
        <v>1.002</v>
      </c>
      <c r="G28" s="43">
        <f t="shared" si="9"/>
        <v>1.0763596744072252</v>
      </c>
      <c r="H28" s="43">
        <f t="shared" si="3"/>
        <v>1.0540334942406835</v>
      </c>
      <c r="I28" s="44">
        <f t="shared" si="4"/>
        <v>7883.1378469277333</v>
      </c>
      <c r="J28" s="44">
        <f t="shared" si="5"/>
        <v>8747.04328491259</v>
      </c>
      <c r="K28" s="44">
        <f t="shared" si="6"/>
        <v>9718.9371444175322</v>
      </c>
      <c r="L28" s="44">
        <f t="shared" si="7"/>
        <v>10258.877801386083</v>
      </c>
      <c r="M28" s="44">
        <f t="shared" si="8"/>
        <v>10798.818941898597</v>
      </c>
    </row>
    <row r="29" spans="2:22" x14ac:dyDescent="0.2">
      <c r="B29" s="39">
        <v>45839</v>
      </c>
      <c r="C29" s="40">
        <f t="shared" si="10"/>
        <v>45869</v>
      </c>
      <c r="D29" s="45">
        <v>0.2</v>
      </c>
      <c r="E29" s="42">
        <f t="shared" si="11"/>
        <v>2E-3</v>
      </c>
      <c r="F29" s="42">
        <f t="shared" si="12"/>
        <v>1.002</v>
      </c>
      <c r="G29" s="43">
        <f t="shared" si="9"/>
        <v>1.0785123937560397</v>
      </c>
      <c r="H29" s="43">
        <f t="shared" si="3"/>
        <v>1.0519296349707419</v>
      </c>
      <c r="I29" s="44">
        <f t="shared" si="4"/>
        <v>7898.9041226215886</v>
      </c>
      <c r="J29" s="44">
        <f t="shared" si="5"/>
        <v>8764.5373714824145</v>
      </c>
      <c r="K29" s="44">
        <f t="shared" si="6"/>
        <v>9738.375018706367</v>
      </c>
      <c r="L29" s="44">
        <f t="shared" si="7"/>
        <v>10279.395556988855</v>
      </c>
      <c r="M29" s="44">
        <f t="shared" si="8"/>
        <v>10820.416579782393</v>
      </c>
    </row>
    <row r="30" spans="2:22" x14ac:dyDescent="0.2">
      <c r="B30" s="39">
        <v>45870</v>
      </c>
      <c r="C30" s="40">
        <f t="shared" si="10"/>
        <v>45900</v>
      </c>
      <c r="D30" s="45">
        <v>0.16</v>
      </c>
      <c r="E30" s="42">
        <f t="shared" si="11"/>
        <v>1.6000000000000001E-3</v>
      </c>
      <c r="F30" s="42">
        <f t="shared" si="12"/>
        <v>1.0016</v>
      </c>
      <c r="G30" s="43">
        <f t="shared" si="9"/>
        <v>1.0802380135860494</v>
      </c>
      <c r="H30" s="43">
        <f t="shared" si="3"/>
        <v>1.0498299750207005</v>
      </c>
      <c r="I30" s="44">
        <f t="shared" si="4"/>
        <v>7911.5423692177837</v>
      </c>
      <c r="J30" s="44">
        <f t="shared" si="5"/>
        <v>8778.5606312767868</v>
      </c>
      <c r="K30" s="44">
        <f t="shared" si="6"/>
        <v>9753.9564187362976</v>
      </c>
      <c r="L30" s="44">
        <f t="shared" si="7"/>
        <v>10295.842589880038</v>
      </c>
      <c r="M30" s="44">
        <f t="shared" si="8"/>
        <v>10837.729246310046</v>
      </c>
    </row>
    <row r="31" spans="2:22" x14ac:dyDescent="0.2">
      <c r="B31" s="39">
        <v>45901</v>
      </c>
      <c r="C31" s="40">
        <f t="shared" si="10"/>
        <v>45930</v>
      </c>
      <c r="D31" s="45">
        <v>0.22</v>
      </c>
      <c r="E31" s="42">
        <f t="shared" si="11"/>
        <v>2.2000000000000001E-3</v>
      </c>
      <c r="F31" s="42">
        <f t="shared" si="12"/>
        <v>1.0022</v>
      </c>
      <c r="G31" s="43">
        <f t="shared" si="9"/>
        <v>1.0826145372159388</v>
      </c>
      <c r="H31" s="43">
        <f t="shared" si="3"/>
        <v>1.0481529303321688</v>
      </c>
      <c r="I31" s="44">
        <f t="shared" si="4"/>
        <v>7928.9477624300625</v>
      </c>
      <c r="J31" s="44">
        <f t="shared" si="5"/>
        <v>8797.8734646655957</v>
      </c>
      <c r="K31" s="44">
        <f t="shared" si="6"/>
        <v>9775.4151228575174</v>
      </c>
      <c r="L31" s="44">
        <f t="shared" si="7"/>
        <v>10318.493443577774</v>
      </c>
      <c r="M31" s="44">
        <f t="shared" si="8"/>
        <v>10861.572250651927</v>
      </c>
    </row>
    <row r="32" spans="2:22" x14ac:dyDescent="0.2">
      <c r="B32" s="39">
        <v>45931</v>
      </c>
      <c r="C32" s="40">
        <f t="shared" si="10"/>
        <v>45961</v>
      </c>
      <c r="D32" s="45">
        <v>0.31</v>
      </c>
      <c r="E32" s="42">
        <f t="shared" si="11"/>
        <v>3.0999999999999999E-3</v>
      </c>
      <c r="F32" s="42">
        <f t="shared" si="12"/>
        <v>1.0031000000000001</v>
      </c>
      <c r="G32" s="43">
        <f t="shared" si="9"/>
        <v>1.0859706422813082</v>
      </c>
      <c r="H32" s="43">
        <f t="shared" si="3"/>
        <v>1.0458520558093882</v>
      </c>
      <c r="I32" s="44">
        <f t="shared" si="4"/>
        <v>7953.5275004935966</v>
      </c>
      <c r="J32" s="44">
        <f t="shared" si="5"/>
        <v>8825.1468724060596</v>
      </c>
      <c r="K32" s="44">
        <f t="shared" si="6"/>
        <v>9805.7189097383762</v>
      </c>
      <c r="L32" s="44">
        <f t="shared" si="7"/>
        <v>10350.480773252866</v>
      </c>
      <c r="M32" s="44">
        <f t="shared" si="8"/>
        <v>10895.243124628949</v>
      </c>
    </row>
    <row r="33" spans="2:13" x14ac:dyDescent="0.2">
      <c r="B33" s="39">
        <v>45962</v>
      </c>
      <c r="C33" s="40">
        <f t="shared" si="10"/>
        <v>45991</v>
      </c>
      <c r="D33" s="45">
        <v>0.2525</v>
      </c>
      <c r="E33" s="42">
        <f t="shared" si="11"/>
        <v>2.5249999999999999E-3</v>
      </c>
      <c r="F33" s="42">
        <f t="shared" si="12"/>
        <v>1.0025250000000001</v>
      </c>
      <c r="G33" s="43">
        <f t="shared" si="9"/>
        <v>1.0887127181530687</v>
      </c>
      <c r="H33" s="43">
        <f t="shared" si="3"/>
        <v>1.042619934013945</v>
      </c>
      <c r="I33" s="44">
        <f t="shared" si="4"/>
        <v>7973.6101574323438</v>
      </c>
      <c r="J33" s="44">
        <f t="shared" si="5"/>
        <v>8847.4303682588852</v>
      </c>
      <c r="K33" s="44">
        <f t="shared" si="6"/>
        <v>9830.4783499854675</v>
      </c>
      <c r="L33" s="44">
        <f t="shared" si="7"/>
        <v>10376.615737205331</v>
      </c>
      <c r="M33" s="44">
        <f t="shared" si="8"/>
        <v>10922.753613518638</v>
      </c>
    </row>
    <row r="34" spans="2:13" x14ac:dyDescent="0.2">
      <c r="B34" s="39">
        <v>45992</v>
      </c>
      <c r="C34" s="40">
        <f t="shared" si="10"/>
        <v>46022</v>
      </c>
      <c r="D34" s="45">
        <v>0.42780000000000001</v>
      </c>
      <c r="E34" s="42">
        <f t="shared" si="11"/>
        <v>4.2780000000000006E-3</v>
      </c>
      <c r="F34" s="42">
        <f t="shared" si="12"/>
        <v>1.004278</v>
      </c>
      <c r="G34" s="43">
        <f t="shared" si="9"/>
        <v>1.0933702311613276</v>
      </c>
      <c r="H34" s="43">
        <f t="shared" si="3"/>
        <v>1.0399939492919825</v>
      </c>
      <c r="I34" s="44">
        <f t="shared" si="4"/>
        <v>8007.7212616858396</v>
      </c>
      <c r="J34" s="44">
        <f t="shared" si="5"/>
        <v>8885.2796753742969</v>
      </c>
      <c r="K34" s="44">
        <f t="shared" si="6"/>
        <v>9872.5331363667046</v>
      </c>
      <c r="L34" s="44">
        <f t="shared" si="7"/>
        <v>10421.006899329095</v>
      </c>
      <c r="M34" s="44">
        <f t="shared" si="8"/>
        <v>10969.481153477271</v>
      </c>
    </row>
    <row r="35" spans="2:13" x14ac:dyDescent="0.2">
      <c r="B35" s="39">
        <v>46023</v>
      </c>
      <c r="C35" s="40">
        <f t="shared" si="10"/>
        <v>46053</v>
      </c>
      <c r="D35" s="45">
        <v>0.4</v>
      </c>
      <c r="E35" s="42">
        <f t="shared" si="11"/>
        <v>4.0000000000000001E-3</v>
      </c>
      <c r="F35" s="42">
        <f t="shared" si="12"/>
        <v>1.004</v>
      </c>
      <c r="G35" s="43">
        <f t="shared" si="9"/>
        <v>1.097743712085973</v>
      </c>
      <c r="H35" s="43">
        <f t="shared" si="3"/>
        <v>1.0355638073242492</v>
      </c>
      <c r="I35" s="44">
        <f t="shared" si="4"/>
        <v>8039.7521467325832</v>
      </c>
      <c r="J35" s="44">
        <f t="shared" si="5"/>
        <v>8920.8207940757948</v>
      </c>
      <c r="K35" s="44">
        <f t="shared" si="6"/>
        <v>9912.0232689121713</v>
      </c>
      <c r="L35" s="44">
        <f t="shared" si="7"/>
        <v>10462.690926926412</v>
      </c>
      <c r="M35" s="44">
        <f t="shared" si="8"/>
        <v>11013.35907809118</v>
      </c>
    </row>
    <row r="36" spans="2:13" x14ac:dyDescent="0.2">
      <c r="B36" s="39">
        <v>46054</v>
      </c>
      <c r="C36" s="40">
        <f t="shared" si="10"/>
        <v>46081</v>
      </c>
      <c r="D36" s="45">
        <v>0.49149999999999999</v>
      </c>
      <c r="E36" s="42">
        <f t="shared" si="11"/>
        <v>4.9150000000000001E-3</v>
      </c>
      <c r="F36" s="42">
        <f t="shared" si="12"/>
        <v>1.004915</v>
      </c>
      <c r="G36" s="43">
        <f t="shared" si="9"/>
        <v>1.1031391224308755</v>
      </c>
      <c r="H36" s="43">
        <f t="shared" si="3"/>
        <v>1.031438055103834</v>
      </c>
      <c r="I36" s="44">
        <f t="shared" si="4"/>
        <v>8079.2675285337737</v>
      </c>
      <c r="J36" s="44">
        <f t="shared" si="5"/>
        <v>8964.6666282786773</v>
      </c>
      <c r="K36" s="44">
        <f t="shared" si="6"/>
        <v>9960.7408632788738</v>
      </c>
      <c r="L36" s="44">
        <f t="shared" si="7"/>
        <v>10514.115052832256</v>
      </c>
      <c r="M36" s="44">
        <f t="shared" si="8"/>
        <v>11067.489737959999</v>
      </c>
    </row>
    <row r="37" spans="2:13" x14ac:dyDescent="0.2">
      <c r="B37" s="39">
        <v>46082</v>
      </c>
      <c r="C37" s="40">
        <f t="shared" si="10"/>
        <v>46112</v>
      </c>
      <c r="D37" s="45">
        <f t="shared" ref="D37:D46" si="13">$V$18</f>
        <v>0.26085000000000003</v>
      </c>
      <c r="E37" s="42">
        <f t="shared" si="11"/>
        <v>2.6085000000000001E-3</v>
      </c>
      <c r="F37" s="42">
        <f t="shared" si="12"/>
        <v>1.0026085</v>
      </c>
      <c r="G37" s="43">
        <f t="shared" si="9"/>
        <v>1.1060166608317366</v>
      </c>
      <c r="H37" s="43">
        <f t="shared" si="3"/>
        <v>1.0263933318776552</v>
      </c>
      <c r="I37" s="44">
        <f t="shared" si="4"/>
        <v>8100.3422978819544</v>
      </c>
      <c r="J37" s="44">
        <f t="shared" si="5"/>
        <v>8988.0509611785419</v>
      </c>
      <c r="K37" s="44">
        <f t="shared" si="6"/>
        <v>9986.7234558207365</v>
      </c>
      <c r="L37" s="44">
        <f t="shared" si="7"/>
        <v>10541.541121947568</v>
      </c>
      <c r="M37" s="44">
        <f t="shared" si="8"/>
        <v>11096.359284941467</v>
      </c>
    </row>
    <row r="38" spans="2:13" x14ac:dyDescent="0.2">
      <c r="B38" s="39">
        <v>46113</v>
      </c>
      <c r="C38" s="40">
        <f t="shared" si="10"/>
        <v>46142</v>
      </c>
      <c r="D38" s="45">
        <f t="shared" si="13"/>
        <v>0.26085000000000003</v>
      </c>
      <c r="E38" s="42">
        <f t="shared" si="11"/>
        <v>2.6085000000000001E-3</v>
      </c>
      <c r="F38" s="42">
        <f t="shared" si="12"/>
        <v>1.0026085</v>
      </c>
      <c r="G38" s="43">
        <f t="shared" si="9"/>
        <v>1.1089017052915162</v>
      </c>
      <c r="H38" s="43">
        <f t="shared" si="3"/>
        <v>1.0237229505611165</v>
      </c>
      <c r="I38" s="44">
        <f t="shared" si="4"/>
        <v>8121.4720407659797</v>
      </c>
      <c r="J38" s="44">
        <f t="shared" si="5"/>
        <v>9011.4962921107763</v>
      </c>
      <c r="K38" s="44">
        <f t="shared" si="6"/>
        <v>10012.773823955245</v>
      </c>
      <c r="L38" s="44">
        <f t="shared" si="7"/>
        <v>10569.038731964169</v>
      </c>
      <c r="M38" s="44">
        <f t="shared" si="8"/>
        <v>11125.304138136236</v>
      </c>
    </row>
    <row r="39" spans="2:13" x14ac:dyDescent="0.2">
      <c r="B39" s="39">
        <v>46143</v>
      </c>
      <c r="C39" s="40">
        <f t="shared" si="10"/>
        <v>46173</v>
      </c>
      <c r="D39" s="45">
        <f t="shared" si="13"/>
        <v>0.26085000000000003</v>
      </c>
      <c r="E39" s="42">
        <f t="shared" si="11"/>
        <v>2.6085000000000001E-3</v>
      </c>
      <c r="F39" s="42">
        <f t="shared" si="12"/>
        <v>1.0026085</v>
      </c>
      <c r="G39" s="43">
        <f t="shared" si="9"/>
        <v>1.1117942753897692</v>
      </c>
      <c r="H39" s="43">
        <f t="shared" si="3"/>
        <v>1.0210595168115135</v>
      </c>
      <c r="I39" s="44">
        <f t="shared" si="4"/>
        <v>8142.6569005843176</v>
      </c>
      <c r="J39" s="44">
        <f t="shared" si="5"/>
        <v>9035.0027801887481</v>
      </c>
      <c r="K39" s="44">
        <f t="shared" si="6"/>
        <v>10038.892144475032</v>
      </c>
      <c r="L39" s="44">
        <f t="shared" si="7"/>
        <v>10596.608069496497</v>
      </c>
      <c r="M39" s="44">
        <f t="shared" si="8"/>
        <v>11154.324493980565</v>
      </c>
    </row>
    <row r="40" spans="2:13" x14ac:dyDescent="0.2">
      <c r="B40" s="39">
        <v>46174</v>
      </c>
      <c r="C40" s="40">
        <f t="shared" si="10"/>
        <v>46203</v>
      </c>
      <c r="D40" s="45">
        <f t="shared" si="13"/>
        <v>0.26085000000000003</v>
      </c>
      <c r="E40" s="42">
        <f t="shared" si="11"/>
        <v>2.6085000000000001E-3</v>
      </c>
      <c r="F40" s="42">
        <f t="shared" si="12"/>
        <v>1.0026085</v>
      </c>
      <c r="G40" s="43">
        <f t="shared" si="9"/>
        <v>1.1146943907571234</v>
      </c>
      <c r="H40" s="43">
        <f t="shared" si="3"/>
        <v>1.0184030125532684</v>
      </c>
      <c r="I40" s="44">
        <f t="shared" si="4"/>
        <v>8163.897021109492</v>
      </c>
      <c r="J40" s="44">
        <f t="shared" si="5"/>
        <v>9058.5705849408714</v>
      </c>
      <c r="K40" s="44">
        <f t="shared" si="6"/>
        <v>10065.078594633895</v>
      </c>
      <c r="L40" s="44">
        <f t="shared" si="7"/>
        <v>10624.249321645779</v>
      </c>
      <c r="M40" s="44">
        <f t="shared" si="8"/>
        <v>11183.420549423114</v>
      </c>
    </row>
    <row r="41" spans="2:13" x14ac:dyDescent="0.2">
      <c r="B41" s="39">
        <v>46204</v>
      </c>
      <c r="C41" s="40">
        <f t="shared" si="10"/>
        <v>46234</v>
      </c>
      <c r="D41" s="45">
        <f t="shared" si="13"/>
        <v>0.26085000000000003</v>
      </c>
      <c r="E41" s="42">
        <f t="shared" si="11"/>
        <v>2.6085000000000001E-3</v>
      </c>
      <c r="F41" s="42">
        <f t="shared" si="12"/>
        <v>1.0026085</v>
      </c>
      <c r="G41" s="43">
        <f t="shared" si="9"/>
        <v>1.1176020710754133</v>
      </c>
      <c r="H41" s="43">
        <f t="shared" si="3"/>
        <v>1.01575341975783</v>
      </c>
      <c r="I41" s="44">
        <f t="shared" si="4"/>
        <v>8185.1925464890564</v>
      </c>
      <c r="J41" s="44">
        <f t="shared" si="5"/>
        <v>9082.1998663116901</v>
      </c>
      <c r="K41" s="44">
        <f t="shared" si="6"/>
        <v>10091.333352147998</v>
      </c>
      <c r="L41" s="44">
        <f t="shared" si="7"/>
        <v>10651.962676001292</v>
      </c>
      <c r="M41" s="44">
        <f t="shared" si="8"/>
        <v>11212.592501926283</v>
      </c>
    </row>
    <row r="42" spans="2:13" x14ac:dyDescent="0.2">
      <c r="B42" s="39">
        <v>46235</v>
      </c>
      <c r="C42" s="40">
        <f t="shared" si="10"/>
        <v>46265</v>
      </c>
      <c r="D42" s="45">
        <f t="shared" si="13"/>
        <v>0.26085000000000003</v>
      </c>
      <c r="E42" s="42">
        <f t="shared" si="11"/>
        <v>2.6085000000000001E-3</v>
      </c>
      <c r="F42" s="42">
        <f t="shared" si="12"/>
        <v>1.0026085</v>
      </c>
      <c r="G42" s="43">
        <f t="shared" si="9"/>
        <v>1.1205173360778136</v>
      </c>
      <c r="H42" s="43">
        <f t="shared" si="3"/>
        <v>1.013110720443553</v>
      </c>
      <c r="I42" s="44">
        <f t="shared" si="4"/>
        <v>8206.5436212465738</v>
      </c>
      <c r="J42" s="44">
        <f t="shared" si="5"/>
        <v>9105.8907846629645</v>
      </c>
      <c r="K42" s="44">
        <f t="shared" si="6"/>
        <v>10117.656595197077</v>
      </c>
      <c r="L42" s="44">
        <f t="shared" si="7"/>
        <v>10679.748320641642</v>
      </c>
      <c r="M42" s="44">
        <f t="shared" si="8"/>
        <v>11241.840549467557</v>
      </c>
    </row>
    <row r="43" spans="2:13" x14ac:dyDescent="0.2">
      <c r="B43" s="39">
        <v>46266</v>
      </c>
      <c r="C43" s="40">
        <f t="shared" si="10"/>
        <v>46295</v>
      </c>
      <c r="D43" s="45">
        <f t="shared" si="13"/>
        <v>0.26085000000000003</v>
      </c>
      <c r="E43" s="42">
        <f t="shared" si="11"/>
        <v>2.6085000000000001E-3</v>
      </c>
      <c r="F43" s="42">
        <f t="shared" si="12"/>
        <v>1.0026085</v>
      </c>
      <c r="G43" s="43">
        <f t="shared" si="9"/>
        <v>1.1234402055489725</v>
      </c>
      <c r="H43" s="43">
        <f t="shared" si="3"/>
        <v>1.0104748966755748</v>
      </c>
      <c r="I43" s="44">
        <f t="shared" si="4"/>
        <v>8227.9503902825963</v>
      </c>
      <c r="J43" s="44">
        <f t="shared" si="5"/>
        <v>9129.6435007747586</v>
      </c>
      <c r="K43" s="44">
        <f t="shared" si="6"/>
        <v>10144.048502425649</v>
      </c>
      <c r="L43" s="44">
        <f t="shared" si="7"/>
        <v>10707.606444136036</v>
      </c>
      <c r="M43" s="44">
        <f t="shared" si="8"/>
        <v>11271.164890540844</v>
      </c>
    </row>
    <row r="44" spans="2:13" x14ac:dyDescent="0.2">
      <c r="B44" s="39">
        <v>46296</v>
      </c>
      <c r="C44" s="40">
        <f t="shared" si="10"/>
        <v>46326</v>
      </c>
      <c r="D44" s="45">
        <f t="shared" si="13"/>
        <v>0.26085000000000003</v>
      </c>
      <c r="E44" s="42">
        <f t="shared" si="11"/>
        <v>2.6085000000000001E-3</v>
      </c>
      <c r="F44" s="42">
        <f t="shared" si="12"/>
        <v>1.0026085</v>
      </c>
      <c r="G44" s="43">
        <f t="shared" si="9"/>
        <v>1.126370699325147</v>
      </c>
      <c r="H44" s="43">
        <f t="shared" si="3"/>
        <v>1.0078459305656942</v>
      </c>
      <c r="I44" s="44">
        <f t="shared" si="4"/>
        <v>8249.4129988756486</v>
      </c>
      <c r="J44" s="44">
        <f t="shared" si="5"/>
        <v>9153.4581758465301</v>
      </c>
      <c r="K44" s="44">
        <f t="shared" si="6"/>
        <v>10170.509252944226</v>
      </c>
      <c r="L44" s="44">
        <f t="shared" si="7"/>
        <v>10735.537235545566</v>
      </c>
      <c r="M44" s="44">
        <f t="shared" si="8"/>
        <v>11300.565724157819</v>
      </c>
    </row>
    <row r="45" spans="2:13" x14ac:dyDescent="0.2">
      <c r="B45" s="39">
        <v>46327</v>
      </c>
      <c r="C45" s="40">
        <f t="shared" si="10"/>
        <v>46356</v>
      </c>
      <c r="D45" s="45">
        <f t="shared" si="13"/>
        <v>0.26085000000000003</v>
      </c>
      <c r="E45" s="42">
        <f t="shared" si="11"/>
        <v>2.6085000000000001E-3</v>
      </c>
      <c r="F45" s="42">
        <f t="shared" si="12"/>
        <v>1.0026085</v>
      </c>
      <c r="G45" s="43">
        <f t="shared" si="9"/>
        <v>1.1293088372943367</v>
      </c>
      <c r="H45" s="43">
        <f t="shared" si="3"/>
        <v>1.0052238042722501</v>
      </c>
      <c r="I45" s="44">
        <f t="shared" si="4"/>
        <v>8270.9315926832151</v>
      </c>
      <c r="J45" s="44">
        <f t="shared" si="5"/>
        <v>9177.3349714982251</v>
      </c>
      <c r="K45" s="44">
        <f t="shared" si="6"/>
        <v>10197.039026330531</v>
      </c>
      <c r="L45" s="44">
        <f t="shared" si="7"/>
        <v>10763.540884424487</v>
      </c>
      <c r="M45" s="44">
        <f t="shared" si="8"/>
        <v>11330.043249849285</v>
      </c>
    </row>
    <row r="46" spans="2:13" x14ac:dyDescent="0.2">
      <c r="B46" s="39">
        <v>46357</v>
      </c>
      <c r="C46" s="40">
        <f t="shared" si="10"/>
        <v>46387</v>
      </c>
      <c r="D46" s="45">
        <f t="shared" si="13"/>
        <v>0.26085000000000003</v>
      </c>
      <c r="E46" s="42">
        <f t="shared" si="11"/>
        <v>2.6085000000000001E-3</v>
      </c>
      <c r="F46" s="42">
        <f t="shared" si="12"/>
        <v>1.0026085</v>
      </c>
      <c r="G46" s="43">
        <f t="shared" si="9"/>
        <v>1.132254639396419</v>
      </c>
      <c r="H46" s="43">
        <f t="shared" si="3"/>
        <v>1.0026085</v>
      </c>
      <c r="I46" s="44">
        <f t="shared" si="4"/>
        <v>8292.5063177427292</v>
      </c>
      <c r="J46" s="44">
        <f t="shared" si="5"/>
        <v>9201.2740497713785</v>
      </c>
      <c r="K46" s="44">
        <f t="shared" si="6"/>
        <v>10223.638002630714</v>
      </c>
      <c r="L46" s="44">
        <f t="shared" si="7"/>
        <v>10791.617580821508</v>
      </c>
      <c r="M46" s="44">
        <f t="shared" si="8"/>
        <v>11359.597667666516</v>
      </c>
    </row>
    <row r="47" spans="2:13" x14ac:dyDescent="0.2">
      <c r="B47" s="72"/>
      <c r="C47" s="72"/>
      <c r="D47" s="72"/>
      <c r="E47" s="72"/>
      <c r="F47" s="72"/>
      <c r="G47" s="72"/>
      <c r="H47" s="43">
        <f t="shared" si="3"/>
        <v>1</v>
      </c>
      <c r="I47" s="44">
        <f t="shared" si="4"/>
        <v>0</v>
      </c>
      <c r="J47" s="44">
        <f t="shared" si="5"/>
        <v>0</v>
      </c>
      <c r="K47" s="44">
        <f t="shared" si="6"/>
        <v>0</v>
      </c>
      <c r="L47" s="44">
        <f t="shared" si="7"/>
        <v>0</v>
      </c>
      <c r="M47" s="44">
        <f t="shared" si="8"/>
        <v>0</v>
      </c>
    </row>
  </sheetData>
  <mergeCells count="2">
    <mergeCell ref="I2:M2"/>
    <mergeCell ref="O2:X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Resumo_Projeção_Remuneraçã in</vt:lpstr>
      <vt:lpstr>Resumo_Projeção_Salario-base</vt:lpstr>
      <vt:lpstr>Simulação Remun Inicial por ano</vt:lpstr>
      <vt:lpstr>Simulação Padrão de Vencimento</vt:lpstr>
      <vt:lpstr>Venc corrigido mês-7.23 a 12.26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Grazielle Santana</dc:creator>
  <cp:lastModifiedBy>Grazielle Santana</cp:lastModifiedBy>
  <dcterms:created xsi:type="dcterms:W3CDTF">2024-02-26T02:40:55Z</dcterms:created>
  <dcterms:modified xsi:type="dcterms:W3CDTF">2024-02-26T02:59:25Z</dcterms:modified>
</cp:coreProperties>
</file>